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66925"/>
  <mc:AlternateContent xmlns:mc="http://schemas.openxmlformats.org/markup-compatibility/2006">
    <mc:Choice Requires="x15">
      <x15ac:absPath xmlns:x15ac="http://schemas.microsoft.com/office/spreadsheetml/2010/11/ac" url="https://tkpconnect.sharepoint.com/teams/Productlijn-BasisdienstenWerkgever/Shared Documents/General/05_Team UPA/SWO-implementatie/PME/"/>
    </mc:Choice>
  </mc:AlternateContent>
  <xr:revisionPtr revIDLastSave="0" documentId="8_{5DB03E67-A3E4-4332-B020-EA9D2D2CA79F}" xr6:coauthVersionLast="47" xr6:coauthVersionMax="47" xr10:uidLastSave="{00000000-0000-0000-0000-000000000000}"/>
  <bookViews>
    <workbookView xWindow="-120" yWindow="-120" windowWidth="51840" windowHeight="21120" tabRatio="649" activeTab="1" xr2:uid="{00000000-000D-0000-FFFF-FFFF00000000}"/>
  </bookViews>
  <sheets>
    <sheet name="Toelichting" sheetId="12" r:id="rId1"/>
    <sheet name="Grondslagbepaling mnd" sheetId="15" r:id="rId2"/>
    <sheet name="Grondslagbepaling 4wk" sheetId="11" r:id="rId3"/>
    <sheet name="rekenwaarden" sheetId="10" r:id="rId4"/>
    <sheet name="premie ANW-hiaat" sheetId="14" r:id="rId5"/>
    <sheet name="VCR regulier" sheetId="2" state="hidden" r:id="rId6"/>
    <sheet name="VCR met WN bijdrage" sheetId="1" state="hidden" r:id="rId7"/>
    <sheet name="VCR dagen" sheetId="3" state="hidden" r:id="rId8"/>
  </sheets>
  <definedNames>
    <definedName name="exc_regeling_4wk_jn">'Grondslagbepaling 4wk'!$B$8</definedName>
    <definedName name="exc_regeling_jn">'Grondslagbepaling mnd'!$B$8</definedName>
    <definedName name="franchise2027">rekenwaarden!$L$3</definedName>
    <definedName name="franchise2028">rekenwaarden!$L$4</definedName>
    <definedName name="gekozen_premie_exc2027">rekenwaarden!$S$3</definedName>
    <definedName name="gekozen_premie_exc2028">rekenwaarden!$S$4</definedName>
    <definedName name="leeftijd_deelnemer" localSheetId="1">'Grondslagbepaling mnd'!$B$9</definedName>
    <definedName name="leeftijd_deelnemer">'Grondslagbepaling 4wk'!$B$9</definedName>
    <definedName name="leeftijd_partner" localSheetId="1">'Grondslagbepaling mnd'!$B$10</definedName>
    <definedName name="leeftijd_partner">'Grondslagbepaling 4wk'!$B$10</definedName>
    <definedName name="max_bijdrage_wkn_basis2027">rekenwaarden!$Q$3</definedName>
    <definedName name="max_bijdrage_wkn_basis2028">rekenwaarden!$Q$4</definedName>
    <definedName name="max_bijdrage_wkn_exc2027">rekenwaarden!$R$3</definedName>
    <definedName name="max_bijdrage_wkn_exc2028">rekenwaarden!$R$4</definedName>
    <definedName name="maxloon2027">rekenwaarden!$M$3</definedName>
    <definedName name="maxloon2028">rekenwaarden!$M$4</definedName>
    <definedName name="maxloonexc2027">rekenwaarden!$N$3</definedName>
    <definedName name="maxloonexc2028">rekenwaarden!$N$4</definedName>
    <definedName name="ploegendiensttoeslag2027">rekenwaarden!#REF!</definedName>
    <definedName name="ploegendiensttoeslag2028">rekenwaarden!#REF!</definedName>
    <definedName name="premiekort_ouderschapsverlof2027">rekenwaarden!$P$3</definedName>
    <definedName name="premiekort_ouderschapsverlof2028">rekenwaarden!$P$4</definedName>
    <definedName name="premiepct2027">rekenwaarden!$O$3</definedName>
    <definedName name="premiepct2028">rekenwaarden!$O$4</definedName>
    <definedName name="rekenwaarden_tabel">rekenwaarden!$K$3:$N$4</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5" i="15" l="1"/>
  <c r="U15" i="11"/>
  <c r="AP39" i="11"/>
  <c r="AP40" i="11"/>
  <c r="AP15" i="11"/>
  <c r="AP38" i="11"/>
  <c r="AP37" i="11"/>
  <c r="AP36" i="11"/>
  <c r="AP35" i="11"/>
  <c r="AP34" i="11"/>
  <c r="AP33" i="11"/>
  <c r="AP32" i="11"/>
  <c r="AP31" i="11"/>
  <c r="AP30" i="11"/>
  <c r="AP29" i="11"/>
  <c r="AP28" i="11"/>
  <c r="AP26" i="11"/>
  <c r="AP25" i="11"/>
  <c r="AP24" i="11"/>
  <c r="AP23" i="11"/>
  <c r="AP22" i="11"/>
  <c r="AP21" i="11"/>
  <c r="AP20" i="11"/>
  <c r="AP19" i="11"/>
  <c r="AP18" i="11"/>
  <c r="AP17" i="11"/>
  <c r="AP16" i="11"/>
  <c r="B27" i="15"/>
  <c r="C27" i="15"/>
  <c r="M27" i="15"/>
  <c r="N27" i="15"/>
  <c r="O27" i="15"/>
  <c r="P27" i="15"/>
  <c r="Q27" i="15"/>
  <c r="AL27" i="15"/>
  <c r="B28" i="15"/>
  <c r="C28" i="15"/>
  <c r="M28" i="15"/>
  <c r="N28" i="15"/>
  <c r="O28" i="15"/>
  <c r="P28" i="15"/>
  <c r="Q28" i="15"/>
  <c r="AL28" i="15"/>
  <c r="B29" i="15"/>
  <c r="C29" i="15"/>
  <c r="M29" i="15"/>
  <c r="N29" i="15"/>
  <c r="O29" i="15"/>
  <c r="P29" i="15"/>
  <c r="Q29" i="15"/>
  <c r="AL29" i="15"/>
  <c r="B30" i="15"/>
  <c r="C30" i="15"/>
  <c r="M30" i="15"/>
  <c r="N30" i="15"/>
  <c r="O30" i="15"/>
  <c r="P30" i="15"/>
  <c r="Q30" i="15"/>
  <c r="AL30" i="15"/>
  <c r="B31" i="15"/>
  <c r="C31" i="15"/>
  <c r="M31" i="15"/>
  <c r="N31" i="15"/>
  <c r="O31" i="15"/>
  <c r="P31" i="15"/>
  <c r="Q31" i="15"/>
  <c r="AL31" i="15"/>
  <c r="B32" i="15"/>
  <c r="C32" i="15"/>
  <c r="M32" i="15"/>
  <c r="N32" i="15"/>
  <c r="O32" i="15"/>
  <c r="P32" i="15"/>
  <c r="Q32" i="15"/>
  <c r="AL32" i="15"/>
  <c r="B33" i="15"/>
  <c r="C33" i="15"/>
  <c r="M33" i="15"/>
  <c r="N33" i="15"/>
  <c r="O33" i="15"/>
  <c r="P33" i="15"/>
  <c r="Q33" i="15"/>
  <c r="AL33" i="15"/>
  <c r="B34" i="15"/>
  <c r="C34" i="15"/>
  <c r="M34" i="15"/>
  <c r="N34" i="15"/>
  <c r="O34" i="15"/>
  <c r="P34" i="15"/>
  <c r="Q34" i="15"/>
  <c r="AL34" i="15"/>
  <c r="B35" i="15"/>
  <c r="C35" i="15"/>
  <c r="M35" i="15"/>
  <c r="N35" i="15"/>
  <c r="O35" i="15"/>
  <c r="P35" i="15"/>
  <c r="Q35" i="15"/>
  <c r="AL35" i="15"/>
  <c r="B36" i="15"/>
  <c r="C36" i="15"/>
  <c r="M36" i="15"/>
  <c r="N36" i="15"/>
  <c r="O36" i="15"/>
  <c r="P36" i="15"/>
  <c r="Q36" i="15"/>
  <c r="AL36" i="15"/>
  <c r="B37" i="15"/>
  <c r="C37" i="15"/>
  <c r="M37" i="15"/>
  <c r="N37" i="15"/>
  <c r="O37" i="15"/>
  <c r="P37" i="15"/>
  <c r="Q37" i="15"/>
  <c r="AL37" i="15"/>
  <c r="B38" i="15"/>
  <c r="C38" i="15"/>
  <c r="M38" i="15"/>
  <c r="N38" i="15"/>
  <c r="O38" i="15"/>
  <c r="P38" i="15"/>
  <c r="Q38" i="15"/>
  <c r="AL38" i="15"/>
  <c r="AL29" i="11"/>
  <c r="AL30" i="11"/>
  <c r="AL31" i="11"/>
  <c r="AL32" i="11"/>
  <c r="AL33" i="11"/>
  <c r="AL34" i="11"/>
  <c r="AL35" i="11"/>
  <c r="AO35" i="11"/>
  <c r="AL36" i="11"/>
  <c r="AO36" i="11"/>
  <c r="AL37" i="11"/>
  <c r="AO37" i="11"/>
  <c r="AL38" i="11"/>
  <c r="AO38" i="11"/>
  <c r="AL39" i="11"/>
  <c r="AO39" i="11"/>
  <c r="AL40" i="11"/>
  <c r="AO40" i="11"/>
  <c r="AO29" i="11"/>
  <c r="AO30" i="11"/>
  <c r="AO31" i="11"/>
  <c r="AO33" i="11"/>
  <c r="AO34" i="11"/>
  <c r="AL28" i="11"/>
  <c r="AO28" i="11"/>
  <c r="AL16" i="11"/>
  <c r="AO16" i="11"/>
  <c r="B15" i="15"/>
  <c r="C15" i="15"/>
  <c r="M15" i="15"/>
  <c r="N15" i="15"/>
  <c r="O15" i="15"/>
  <c r="P15" i="15"/>
  <c r="Q15" i="15"/>
  <c r="AL15" i="15"/>
  <c r="AM16" i="11"/>
  <c r="AN16" i="11"/>
  <c r="AL17" i="11"/>
  <c r="AM17" i="11"/>
  <c r="AN17" i="11"/>
  <c r="AO17" i="11"/>
  <c r="AL18" i="11"/>
  <c r="AM18" i="11"/>
  <c r="AN18" i="11"/>
  <c r="AO18" i="11"/>
  <c r="AL19" i="11"/>
  <c r="AO19" i="11"/>
  <c r="AM19" i="11"/>
  <c r="AN19" i="11"/>
  <c r="AL20" i="11"/>
  <c r="AM20" i="11"/>
  <c r="AN20" i="11"/>
  <c r="AO20" i="11"/>
  <c r="AL21" i="11"/>
  <c r="AM21" i="11"/>
  <c r="AN21" i="11"/>
  <c r="AO21" i="11"/>
  <c r="AL22" i="11"/>
  <c r="AO22" i="11"/>
  <c r="AM22" i="11"/>
  <c r="AN22" i="11"/>
  <c r="AL23" i="11"/>
  <c r="AM23" i="11"/>
  <c r="AN23" i="11"/>
  <c r="AO23" i="11"/>
  <c r="AL24" i="11"/>
  <c r="AO24" i="11"/>
  <c r="AM24" i="11"/>
  <c r="AN24" i="11"/>
  <c r="AL25" i="11"/>
  <c r="AO25" i="11"/>
  <c r="AM25" i="11"/>
  <c r="AN25" i="11"/>
  <c r="AL26" i="11"/>
  <c r="AM26" i="11"/>
  <c r="AN26" i="11"/>
  <c r="AO26" i="11"/>
  <c r="AL27" i="11"/>
  <c r="AO27" i="11"/>
  <c r="AM28" i="11"/>
  <c r="AN28" i="11"/>
  <c r="AM29" i="11"/>
  <c r="AN29" i="11"/>
  <c r="AM30" i="11"/>
  <c r="AN30" i="11"/>
  <c r="AM31" i="11"/>
  <c r="AN31" i="11"/>
  <c r="AO32" i="11"/>
  <c r="AM32" i="11"/>
  <c r="AN32" i="11"/>
  <c r="AM33" i="11"/>
  <c r="AN33" i="11"/>
  <c r="AM34" i="11"/>
  <c r="AN34" i="11"/>
  <c r="AM35" i="11"/>
  <c r="AN35" i="11"/>
  <c r="AM36" i="11"/>
  <c r="AN36" i="11"/>
  <c r="AM37" i="11"/>
  <c r="AN37" i="11"/>
  <c r="AM38" i="11"/>
  <c r="AN38" i="11"/>
  <c r="AM39" i="11"/>
  <c r="AN39" i="11"/>
  <c r="AM40" i="11"/>
  <c r="AN40" i="11"/>
  <c r="AJ29" i="11"/>
  <c r="AJ30" i="11"/>
  <c r="AJ31" i="11"/>
  <c r="AJ32" i="11"/>
  <c r="AJ33" i="11"/>
  <c r="AJ34" i="11"/>
  <c r="AJ35" i="11"/>
  <c r="AJ36" i="11"/>
  <c r="AJ37" i="11"/>
  <c r="AJ38" i="11"/>
  <c r="AJ39" i="11"/>
  <c r="AJ40" i="11"/>
  <c r="AJ28" i="11"/>
  <c r="AI16" i="11"/>
  <c r="AJ16" i="11"/>
  <c r="AI17" i="11"/>
  <c r="AJ17" i="11"/>
  <c r="AI18" i="11"/>
  <c r="AJ18" i="11"/>
  <c r="AI19" i="11"/>
  <c r="AJ19" i="11"/>
  <c r="AI20" i="11"/>
  <c r="AJ20" i="11"/>
  <c r="AI21" i="11"/>
  <c r="AJ21" i="11"/>
  <c r="AI22" i="11"/>
  <c r="AJ22" i="11"/>
  <c r="AI23" i="11"/>
  <c r="AJ23" i="11"/>
  <c r="AI24" i="11"/>
  <c r="AJ24" i="11"/>
  <c r="AI25" i="11"/>
  <c r="AJ25" i="11"/>
  <c r="AI26" i="11"/>
  <c r="AJ26" i="11"/>
  <c r="AI28" i="11"/>
  <c r="AI29" i="11"/>
  <c r="AI30" i="11"/>
  <c r="AI31" i="11"/>
  <c r="AI32" i="11"/>
  <c r="AI33" i="11"/>
  <c r="AI34" i="11"/>
  <c r="AI35" i="11"/>
  <c r="AI36" i="11"/>
  <c r="AI37" i="11"/>
  <c r="AI38" i="11"/>
  <c r="AI39" i="11"/>
  <c r="AI40" i="11"/>
  <c r="AI15" i="11"/>
  <c r="AG16" i="11"/>
  <c r="AH16" i="11"/>
  <c r="AG17" i="11"/>
  <c r="AH17" i="11"/>
  <c r="AG18" i="11"/>
  <c r="AH18" i="11"/>
  <c r="AG19" i="11"/>
  <c r="AH19" i="11"/>
  <c r="AG20" i="11"/>
  <c r="AH20" i="11"/>
  <c r="AG21" i="11"/>
  <c r="AH21" i="11"/>
  <c r="AG22" i="11"/>
  <c r="AH22" i="11"/>
  <c r="AG23" i="11"/>
  <c r="AH23" i="11"/>
  <c r="AG24" i="11"/>
  <c r="AH24" i="11"/>
  <c r="AG25" i="11"/>
  <c r="AH25" i="11"/>
  <c r="AG26" i="11"/>
  <c r="AH26" i="11"/>
  <c r="AG28" i="11"/>
  <c r="AH28" i="11"/>
  <c r="AG29" i="11"/>
  <c r="AH29" i="11"/>
  <c r="AG30" i="11"/>
  <c r="AH30" i="11"/>
  <c r="AG31" i="11"/>
  <c r="AH31" i="11"/>
  <c r="AG32" i="11"/>
  <c r="AH32" i="11"/>
  <c r="AG33" i="11"/>
  <c r="AH33" i="11"/>
  <c r="AG34" i="11"/>
  <c r="AH34" i="11"/>
  <c r="AG35" i="11"/>
  <c r="AH35" i="11"/>
  <c r="AG36" i="11"/>
  <c r="AH36" i="11"/>
  <c r="AG37" i="11"/>
  <c r="AH37" i="11"/>
  <c r="AG38" i="11"/>
  <c r="AH38" i="11"/>
  <c r="AG39" i="11"/>
  <c r="AH39" i="11"/>
  <c r="AG40" i="11"/>
  <c r="AH40" i="11"/>
  <c r="AH15" i="11"/>
  <c r="AG15" i="11"/>
  <c r="AF29" i="11"/>
  <c r="AF30" i="11"/>
  <c r="AF31" i="11"/>
  <c r="AF32" i="11"/>
  <c r="AF33" i="11"/>
  <c r="AF34" i="11"/>
  <c r="AF35" i="11"/>
  <c r="AF36" i="11"/>
  <c r="AF37" i="11"/>
  <c r="AF38" i="11"/>
  <c r="AF39" i="11"/>
  <c r="AF40" i="11"/>
  <c r="AF28" i="11"/>
  <c r="AF16" i="11"/>
  <c r="AF17" i="11"/>
  <c r="AF18" i="11"/>
  <c r="AF19" i="11"/>
  <c r="AF20" i="11"/>
  <c r="AF21" i="11"/>
  <c r="AF22" i="11"/>
  <c r="AF23" i="11"/>
  <c r="AF24" i="11"/>
  <c r="AF25" i="11"/>
  <c r="AF26" i="11"/>
  <c r="AE29" i="11"/>
  <c r="AE30" i="11"/>
  <c r="AE31" i="11"/>
  <c r="AE32" i="11"/>
  <c r="AE33" i="11"/>
  <c r="AE34" i="11"/>
  <c r="AE35" i="11"/>
  <c r="AE36" i="11"/>
  <c r="AE37" i="11"/>
  <c r="AE38" i="11"/>
  <c r="AE39" i="11"/>
  <c r="AE40" i="11"/>
  <c r="AE28" i="11"/>
  <c r="AE16" i="11"/>
  <c r="AE17" i="11"/>
  <c r="AE18" i="11"/>
  <c r="AE19" i="11"/>
  <c r="AE20" i="11"/>
  <c r="AE21" i="11"/>
  <c r="AE22" i="11"/>
  <c r="AE23" i="11"/>
  <c r="AE24" i="11"/>
  <c r="AE25" i="11"/>
  <c r="AE26" i="11"/>
  <c r="AC16" i="11"/>
  <c r="AD16" i="11"/>
  <c r="AC17" i="11"/>
  <c r="AD17" i="11"/>
  <c r="AC18" i="11"/>
  <c r="AD18" i="11"/>
  <c r="AC19" i="11"/>
  <c r="AC20" i="11"/>
  <c r="AD20" i="11"/>
  <c r="AC21" i="11"/>
  <c r="AD21" i="11"/>
  <c r="AC22" i="11"/>
  <c r="AD22" i="11"/>
  <c r="AC23" i="11"/>
  <c r="AD23" i="11"/>
  <c r="AC24" i="11"/>
  <c r="AD24" i="11"/>
  <c r="AC25" i="11"/>
  <c r="AD25" i="11"/>
  <c r="AC26" i="11"/>
  <c r="AD26" i="11"/>
  <c r="AC28" i="11"/>
  <c r="AD28" i="11"/>
  <c r="AC29" i="11"/>
  <c r="AD29" i="11"/>
  <c r="AC30" i="11"/>
  <c r="AD30" i="11"/>
  <c r="AC31" i="11"/>
  <c r="AD31" i="11"/>
  <c r="AC32" i="11"/>
  <c r="AD32" i="11"/>
  <c r="AC33" i="11"/>
  <c r="AD33" i="11"/>
  <c r="AC34" i="11"/>
  <c r="AD34" i="11"/>
  <c r="AC35" i="11"/>
  <c r="AD35" i="11"/>
  <c r="AC36" i="11"/>
  <c r="AD36" i="11"/>
  <c r="AC37" i="11"/>
  <c r="AD37" i="11"/>
  <c r="AC38" i="11"/>
  <c r="AD38" i="11"/>
  <c r="AC39" i="11"/>
  <c r="AD39" i="11"/>
  <c r="AC40" i="11"/>
  <c r="AD40" i="11"/>
  <c r="AD15" i="11"/>
  <c r="AC15" i="11"/>
  <c r="AB16" i="11"/>
  <c r="AB17" i="11"/>
  <c r="AB18" i="11"/>
  <c r="AB19" i="11"/>
  <c r="AB20" i="11"/>
  <c r="AB21" i="11"/>
  <c r="AB22" i="11"/>
  <c r="AB23" i="11"/>
  <c r="AB24" i="11"/>
  <c r="AB25" i="11"/>
  <c r="AB26" i="11"/>
  <c r="AB28" i="11"/>
  <c r="AB29" i="11"/>
  <c r="AB30" i="11"/>
  <c r="AB31" i="11"/>
  <c r="AB32" i="11"/>
  <c r="AB33" i="11"/>
  <c r="AB34" i="11"/>
  <c r="AB35" i="11"/>
  <c r="AB36" i="11"/>
  <c r="AB37" i="11"/>
  <c r="AB38" i="11"/>
  <c r="AB39" i="11"/>
  <c r="AB40" i="11"/>
  <c r="AB15" i="11"/>
  <c r="AA27" i="11"/>
  <c r="Y27" i="11"/>
  <c r="Y39" i="11"/>
  <c r="AA39" i="11"/>
  <c r="Y40" i="11"/>
  <c r="AA40" i="11"/>
  <c r="AA38" i="11"/>
  <c r="Y38" i="11"/>
  <c r="AA37" i="11"/>
  <c r="Y37" i="11"/>
  <c r="AA36" i="11"/>
  <c r="Y36" i="11"/>
  <c r="AA35" i="11"/>
  <c r="Y35" i="11"/>
  <c r="AA34" i="11"/>
  <c r="Y34" i="11"/>
  <c r="AA33" i="11"/>
  <c r="Y33" i="11"/>
  <c r="AA32" i="11"/>
  <c r="Y32" i="11"/>
  <c r="AA31" i="11"/>
  <c r="Y31" i="11"/>
  <c r="AA30" i="11"/>
  <c r="Y30" i="11"/>
  <c r="AA29" i="11"/>
  <c r="Y29" i="11"/>
  <c r="AA28" i="11"/>
  <c r="Y28" i="11"/>
  <c r="AA26" i="11"/>
  <c r="Y26" i="11"/>
  <c r="AA25" i="11"/>
  <c r="Y25" i="11"/>
  <c r="AA24" i="11"/>
  <c r="Y24" i="11"/>
  <c r="AA23" i="11"/>
  <c r="Y23" i="11"/>
  <c r="AA22" i="11"/>
  <c r="Y22" i="11"/>
  <c r="AA21" i="11"/>
  <c r="Y21" i="11"/>
  <c r="AA20" i="11"/>
  <c r="Y20" i="11"/>
  <c r="AA19" i="11"/>
  <c r="Y19" i="11"/>
  <c r="AA18" i="11"/>
  <c r="Y18" i="11"/>
  <c r="AA17" i="11"/>
  <c r="Y17" i="11"/>
  <c r="AA16" i="11"/>
  <c r="Y16" i="11"/>
  <c r="AA15" i="11"/>
  <c r="Y15" i="11"/>
  <c r="B26" i="15"/>
  <c r="C26" i="15"/>
  <c r="M26" i="15"/>
  <c r="N26" i="15"/>
  <c r="O26" i="15"/>
  <c r="P26" i="15"/>
  <c r="R26" i="15"/>
  <c r="S26" i="15"/>
  <c r="U26" i="15"/>
  <c r="Q26" i="15"/>
  <c r="W26" i="15"/>
  <c r="X26" i="15"/>
  <c r="B16" i="15"/>
  <c r="C16" i="15"/>
  <c r="M16" i="15"/>
  <c r="N16" i="15"/>
  <c r="O16" i="15"/>
  <c r="P16" i="15"/>
  <c r="R16" i="15"/>
  <c r="S16" i="15"/>
  <c r="U16" i="15"/>
  <c r="Q16" i="15"/>
  <c r="W16" i="15"/>
  <c r="X16" i="15"/>
  <c r="Z16" i="15"/>
  <c r="AH16" i="15"/>
  <c r="B17" i="15"/>
  <c r="C17" i="15"/>
  <c r="M17" i="15"/>
  <c r="N17" i="15"/>
  <c r="O17" i="15"/>
  <c r="P17" i="15"/>
  <c r="R17" i="15"/>
  <c r="S17" i="15"/>
  <c r="U17" i="15"/>
  <c r="Q17" i="15"/>
  <c r="W17" i="15"/>
  <c r="X17" i="15"/>
  <c r="Z17" i="15"/>
  <c r="AH17" i="15"/>
  <c r="B18" i="15"/>
  <c r="C18" i="15"/>
  <c r="M18" i="15"/>
  <c r="N18" i="15"/>
  <c r="O18" i="15"/>
  <c r="P18" i="15"/>
  <c r="R18" i="15"/>
  <c r="S18" i="15"/>
  <c r="U18" i="15"/>
  <c r="Q18" i="15"/>
  <c r="W18" i="15"/>
  <c r="X18" i="15"/>
  <c r="Z18" i="15"/>
  <c r="AH18" i="15"/>
  <c r="B19" i="15"/>
  <c r="C19" i="15"/>
  <c r="M19" i="15"/>
  <c r="N19" i="15"/>
  <c r="O19" i="15"/>
  <c r="P19" i="15"/>
  <c r="R19" i="15"/>
  <c r="S19" i="15"/>
  <c r="U19" i="15"/>
  <c r="Q19" i="15"/>
  <c r="W19" i="15"/>
  <c r="X19" i="15"/>
  <c r="Z19" i="15"/>
  <c r="AH19" i="15"/>
  <c r="B20" i="15"/>
  <c r="C20" i="15"/>
  <c r="M20" i="15"/>
  <c r="N20" i="15"/>
  <c r="O20" i="15"/>
  <c r="P20" i="15"/>
  <c r="R20" i="15"/>
  <c r="S20" i="15"/>
  <c r="U20" i="15"/>
  <c r="Q20" i="15"/>
  <c r="W20" i="15"/>
  <c r="X20" i="15"/>
  <c r="Z20" i="15"/>
  <c r="AH20" i="15"/>
  <c r="B21" i="15"/>
  <c r="C21" i="15"/>
  <c r="M21" i="15"/>
  <c r="N21" i="15"/>
  <c r="O21" i="15"/>
  <c r="P21" i="15"/>
  <c r="R21" i="15"/>
  <c r="S21" i="15"/>
  <c r="U21" i="15"/>
  <c r="Q21" i="15"/>
  <c r="W21" i="15"/>
  <c r="X21" i="15"/>
  <c r="Z21" i="15"/>
  <c r="AH21" i="15"/>
  <c r="B22" i="15"/>
  <c r="C22" i="15"/>
  <c r="M22" i="15"/>
  <c r="N22" i="15"/>
  <c r="O22" i="15"/>
  <c r="P22" i="15"/>
  <c r="R22" i="15"/>
  <c r="S22" i="15"/>
  <c r="U22" i="15"/>
  <c r="Q22" i="15"/>
  <c r="W22" i="15"/>
  <c r="X22" i="15"/>
  <c r="Z22" i="15"/>
  <c r="AH22" i="15"/>
  <c r="B23" i="15"/>
  <c r="C23" i="15"/>
  <c r="M23" i="15"/>
  <c r="N23" i="15"/>
  <c r="O23" i="15"/>
  <c r="P23" i="15"/>
  <c r="R23" i="15"/>
  <c r="S23" i="15"/>
  <c r="U23" i="15"/>
  <c r="Q23" i="15"/>
  <c r="W23" i="15"/>
  <c r="X23" i="15"/>
  <c r="Z23" i="15"/>
  <c r="AH23" i="15"/>
  <c r="B24" i="15"/>
  <c r="C24" i="15"/>
  <c r="M24" i="15"/>
  <c r="N24" i="15"/>
  <c r="O24" i="15"/>
  <c r="P24" i="15"/>
  <c r="R24" i="15"/>
  <c r="S24" i="15"/>
  <c r="U24" i="15"/>
  <c r="Q24" i="15"/>
  <c r="W24" i="15"/>
  <c r="X24" i="15"/>
  <c r="Z24" i="15"/>
  <c r="AH24" i="15"/>
  <c r="B25" i="15"/>
  <c r="C25" i="15"/>
  <c r="M25" i="15"/>
  <c r="N25" i="15"/>
  <c r="O25" i="15"/>
  <c r="P25" i="15"/>
  <c r="R25" i="15"/>
  <c r="S25" i="15"/>
  <c r="U25" i="15"/>
  <c r="Q25" i="15"/>
  <c r="W25" i="15"/>
  <c r="X25" i="15"/>
  <c r="Z25" i="15"/>
  <c r="AH25" i="15"/>
  <c r="R27" i="15"/>
  <c r="S27" i="15"/>
  <c r="U27" i="15"/>
  <c r="W27" i="15"/>
  <c r="X27" i="15"/>
  <c r="Z27" i="15"/>
  <c r="AH27" i="15"/>
  <c r="R28" i="15"/>
  <c r="S28" i="15"/>
  <c r="U28" i="15"/>
  <c r="W28" i="15"/>
  <c r="X28" i="15"/>
  <c r="Z28" i="15"/>
  <c r="AH28" i="15"/>
  <c r="R29" i="15"/>
  <c r="S29" i="15"/>
  <c r="U29" i="15"/>
  <c r="W29" i="15"/>
  <c r="X29" i="15"/>
  <c r="Z29" i="15"/>
  <c r="AH29" i="15"/>
  <c r="R30" i="15"/>
  <c r="S30" i="15"/>
  <c r="U30" i="15"/>
  <c r="W30" i="15"/>
  <c r="X30" i="15"/>
  <c r="Z30" i="15"/>
  <c r="AH30" i="15"/>
  <c r="R31" i="15"/>
  <c r="S31" i="15"/>
  <c r="U31" i="15"/>
  <c r="W31" i="15"/>
  <c r="X31" i="15"/>
  <c r="Z31" i="15"/>
  <c r="AH31" i="15"/>
  <c r="R32" i="15"/>
  <c r="S32" i="15"/>
  <c r="U32" i="15"/>
  <c r="W32" i="15"/>
  <c r="X32" i="15"/>
  <c r="Z32" i="15"/>
  <c r="AH32" i="15"/>
  <c r="R33" i="15"/>
  <c r="S33" i="15"/>
  <c r="U33" i="15"/>
  <c r="W33" i="15"/>
  <c r="X33" i="15"/>
  <c r="Z33" i="15"/>
  <c r="AH33" i="15"/>
  <c r="R34" i="15"/>
  <c r="S34" i="15"/>
  <c r="U34" i="15"/>
  <c r="W34" i="15"/>
  <c r="X34" i="15"/>
  <c r="Z34" i="15"/>
  <c r="AH34" i="15"/>
  <c r="R35" i="15"/>
  <c r="S35" i="15"/>
  <c r="U35" i="15"/>
  <c r="W35" i="15"/>
  <c r="X35" i="15"/>
  <c r="Z35" i="15"/>
  <c r="AH35" i="15"/>
  <c r="R36" i="15"/>
  <c r="S36" i="15"/>
  <c r="U36" i="15"/>
  <c r="W36" i="15"/>
  <c r="X36" i="15"/>
  <c r="Z36" i="15"/>
  <c r="AH36" i="15"/>
  <c r="R37" i="15"/>
  <c r="S37" i="15"/>
  <c r="U37" i="15"/>
  <c r="W37" i="15"/>
  <c r="X37" i="15"/>
  <c r="Z37" i="15"/>
  <c r="AH37" i="15"/>
  <c r="R38" i="15"/>
  <c r="S38" i="15"/>
  <c r="U38" i="15"/>
  <c r="W38" i="15"/>
  <c r="X38" i="15"/>
  <c r="Z38" i="15"/>
  <c r="AH38" i="15"/>
  <c r="S15" i="15"/>
  <c r="U15" i="15"/>
  <c r="W15" i="15"/>
  <c r="X15" i="15"/>
  <c r="Z15" i="15"/>
  <c r="AH15" i="15"/>
  <c r="V16" i="15"/>
  <c r="V17" i="15"/>
  <c r="V18" i="15"/>
  <c r="V19" i="15"/>
  <c r="V20" i="15"/>
  <c r="V21" i="15"/>
  <c r="V22" i="15"/>
  <c r="V23" i="15"/>
  <c r="V24" i="15"/>
  <c r="V25" i="15"/>
  <c r="V26" i="15"/>
  <c r="V27" i="15"/>
  <c r="V28" i="15"/>
  <c r="V29" i="15"/>
  <c r="V30" i="15"/>
  <c r="V31" i="15"/>
  <c r="V32" i="15"/>
  <c r="V33" i="15"/>
  <c r="V34" i="15"/>
  <c r="V35" i="15"/>
  <c r="V36" i="15"/>
  <c r="V37" i="15"/>
  <c r="V38" i="15"/>
  <c r="V15" i="15"/>
  <c r="Y28" i="15"/>
  <c r="AA28" i="15"/>
  <c r="Y29" i="15"/>
  <c r="AA29" i="15"/>
  <c r="Y30" i="15"/>
  <c r="AA30" i="15"/>
  <c r="Y31" i="15"/>
  <c r="AA31" i="15"/>
  <c r="Y32" i="15"/>
  <c r="AA32" i="15"/>
  <c r="Y33" i="15"/>
  <c r="AA33" i="15"/>
  <c r="Y34" i="15"/>
  <c r="AA34" i="15"/>
  <c r="Y35" i="15"/>
  <c r="AA35" i="15"/>
  <c r="Y36" i="15"/>
  <c r="AA36" i="15"/>
  <c r="Y37" i="15"/>
  <c r="AA37" i="15"/>
  <c r="Y38" i="15"/>
  <c r="AA38" i="15"/>
  <c r="AA27" i="15"/>
  <c r="Y27" i="15"/>
  <c r="Y16" i="15"/>
  <c r="AA16" i="15"/>
  <c r="Y17" i="15"/>
  <c r="AA17" i="15"/>
  <c r="Y18" i="15"/>
  <c r="AA18" i="15"/>
  <c r="Y19" i="15"/>
  <c r="AA19" i="15"/>
  <c r="Y20" i="15"/>
  <c r="AA20" i="15"/>
  <c r="Y21" i="15"/>
  <c r="AA21" i="15"/>
  <c r="Y22" i="15"/>
  <c r="AA22" i="15"/>
  <c r="Y23" i="15"/>
  <c r="AA23" i="15"/>
  <c r="Y24" i="15"/>
  <c r="AA24" i="15"/>
  <c r="Y25" i="15"/>
  <c r="AA25" i="15"/>
  <c r="Y26" i="15"/>
  <c r="AA26" i="15"/>
  <c r="AA15" i="15"/>
  <c r="Y15" i="15"/>
  <c r="A15" i="15"/>
  <c r="H5" i="15"/>
  <c r="A16" i="15"/>
  <c r="A17" i="15"/>
  <c r="A18" i="15"/>
  <c r="A19" i="15"/>
  <c r="A20" i="15"/>
  <c r="A21" i="15"/>
  <c r="A22" i="15"/>
  <c r="A23" i="15"/>
  <c r="A24" i="15"/>
  <c r="A25" i="15"/>
  <c r="A26" i="15"/>
  <c r="A27" i="15"/>
  <c r="A28" i="15"/>
  <c r="A29" i="15"/>
  <c r="A30" i="15"/>
  <c r="A31" i="15"/>
  <c r="A32" i="15"/>
  <c r="A33" i="15"/>
  <c r="A34" i="15"/>
  <c r="A35" i="15"/>
  <c r="A36" i="15"/>
  <c r="A37" i="15"/>
  <c r="A38" i="15"/>
  <c r="A15" i="11"/>
  <c r="C3" i="10"/>
  <c r="C4" i="10"/>
  <c r="A16" i="10"/>
  <c r="A29" i="10"/>
  <c r="C29" i="10"/>
  <c r="H5" i="11"/>
  <c r="F3" i="10"/>
  <c r="K3" i="10"/>
  <c r="F91" i="10"/>
  <c r="E31" i="2"/>
  <c r="G31" i="2"/>
  <c r="H31" i="2"/>
  <c r="I31" i="2"/>
  <c r="K31" i="2"/>
  <c r="E32" i="2"/>
  <c r="G32" i="2"/>
  <c r="H32" i="2"/>
  <c r="E53" i="3"/>
  <c r="E54" i="3"/>
  <c r="E55" i="3"/>
  <c r="E57" i="3"/>
  <c r="E58" i="3"/>
  <c r="E51" i="3"/>
  <c r="E52" i="3"/>
  <c r="E48" i="3"/>
  <c r="E49" i="3"/>
  <c r="E56" i="3"/>
  <c r="E50" i="3"/>
  <c r="C31" i="3"/>
  <c r="E31" i="3"/>
  <c r="C32" i="3"/>
  <c r="E32" i="3"/>
  <c r="C33" i="3"/>
  <c r="C34" i="3"/>
  <c r="C35" i="3"/>
  <c r="C36" i="3"/>
  <c r="C37" i="3"/>
  <c r="E37" i="3"/>
  <c r="C38" i="3"/>
  <c r="E38" i="3"/>
  <c r="C39" i="3"/>
  <c r="E39" i="3"/>
  <c r="C40" i="3"/>
  <c r="E40" i="3"/>
  <c r="C41" i="3"/>
  <c r="C30" i="3"/>
  <c r="E30" i="3"/>
  <c r="G30" i="3"/>
  <c r="E41" i="3"/>
  <c r="E36" i="3"/>
  <c r="E35" i="3"/>
  <c r="E34" i="3"/>
  <c r="E33" i="3"/>
  <c r="B3" i="3"/>
  <c r="B6" i="3"/>
  <c r="C14" i="3"/>
  <c r="C15" i="3"/>
  <c r="E15" i="3"/>
  <c r="C16" i="3"/>
  <c r="E16" i="3"/>
  <c r="C17" i="3"/>
  <c r="E17" i="3"/>
  <c r="C18" i="3"/>
  <c r="E18" i="3"/>
  <c r="C19" i="3"/>
  <c r="E19" i="3"/>
  <c r="C20" i="3"/>
  <c r="C21" i="3"/>
  <c r="C22" i="3"/>
  <c r="E22" i="3"/>
  <c r="C23" i="3"/>
  <c r="E23" i="3"/>
  <c r="C24" i="3"/>
  <c r="E24" i="3"/>
  <c r="C13" i="3"/>
  <c r="D13" i="3"/>
  <c r="E21" i="3"/>
  <c r="E20" i="3"/>
  <c r="E14" i="3"/>
  <c r="F12" i="2"/>
  <c r="F13" i="2"/>
  <c r="F14" i="2"/>
  <c r="F15" i="2"/>
  <c r="F16" i="2"/>
  <c r="F17" i="2"/>
  <c r="F18" i="2"/>
  <c r="F19" i="2"/>
  <c r="F20" i="2"/>
  <c r="F21" i="2"/>
  <c r="F22" i="2"/>
  <c r="F11" i="2"/>
  <c r="C5" i="2"/>
  <c r="C4" i="2"/>
  <c r="E11" i="2"/>
  <c r="E12" i="2"/>
  <c r="F23" i="1"/>
  <c r="F22" i="1"/>
  <c r="F21" i="1"/>
  <c r="F20" i="1"/>
  <c r="F19" i="1"/>
  <c r="F18" i="1"/>
  <c r="F17" i="1"/>
  <c r="F16" i="1"/>
  <c r="F15" i="1"/>
  <c r="F14" i="1"/>
  <c r="F13" i="1"/>
  <c r="R12" i="2"/>
  <c r="J11" i="2"/>
  <c r="J12" i="2"/>
  <c r="C60" i="3"/>
  <c r="E47" i="3"/>
  <c r="G47" i="3"/>
  <c r="G48" i="3"/>
  <c r="G49" i="3"/>
  <c r="G50" i="3"/>
  <c r="G51" i="3"/>
  <c r="G52" i="3"/>
  <c r="G53" i="3"/>
  <c r="G54" i="3"/>
  <c r="G55" i="3"/>
  <c r="G56" i="3"/>
  <c r="G57" i="3"/>
  <c r="G58" i="3"/>
  <c r="D47" i="3"/>
  <c r="G31" i="3"/>
  <c r="G32" i="3"/>
  <c r="G33" i="3"/>
  <c r="G34" i="3"/>
  <c r="G35" i="3"/>
  <c r="G36" i="3"/>
  <c r="G37" i="3"/>
  <c r="G38" i="3"/>
  <c r="G39" i="3"/>
  <c r="G40" i="3"/>
  <c r="G41" i="3"/>
  <c r="D30" i="3"/>
  <c r="B5" i="3"/>
  <c r="I13" i="3"/>
  <c r="J13" i="3"/>
  <c r="K13" i="3"/>
  <c r="L13" i="3"/>
  <c r="E13" i="3"/>
  <c r="G13" i="3"/>
  <c r="G14" i="3"/>
  <c r="G15" i="3"/>
  <c r="G16" i="3"/>
  <c r="G17" i="3"/>
  <c r="G18" i="3"/>
  <c r="G19" i="3"/>
  <c r="G20" i="3"/>
  <c r="G21" i="3"/>
  <c r="G22" i="3"/>
  <c r="G23" i="3"/>
  <c r="G24" i="3"/>
  <c r="D14" i="3"/>
  <c r="R11" i="2"/>
  <c r="S11" i="2"/>
  <c r="T11" i="2"/>
  <c r="E13" i="2"/>
  <c r="R13" i="2"/>
  <c r="F12" i="1"/>
  <c r="G12" i="1"/>
  <c r="G13" i="1"/>
  <c r="D12" i="1"/>
  <c r="B6" i="1"/>
  <c r="B5" i="1"/>
  <c r="J13" i="2"/>
  <c r="I47" i="3"/>
  <c r="H47" i="3"/>
  <c r="J47" i="3"/>
  <c r="K47" i="3"/>
  <c r="L47" i="3"/>
  <c r="D48" i="3"/>
  <c r="D31" i="3"/>
  <c r="I30" i="3"/>
  <c r="H30" i="3"/>
  <c r="J30" i="3"/>
  <c r="K30" i="3"/>
  <c r="L30" i="3"/>
  <c r="H14" i="3"/>
  <c r="J14" i="3"/>
  <c r="K14" i="3"/>
  <c r="L14" i="3"/>
  <c r="I14" i="3"/>
  <c r="H13" i="3"/>
  <c r="D15" i="3"/>
  <c r="E14" i="2"/>
  <c r="K12" i="1"/>
  <c r="D13" i="1"/>
  <c r="H13" i="1"/>
  <c r="I13" i="1"/>
  <c r="J13" i="1"/>
  <c r="G14" i="1"/>
  <c r="G15" i="1"/>
  <c r="H12" i="1"/>
  <c r="I12" i="1"/>
  <c r="J12" i="1"/>
  <c r="L12" i="1"/>
  <c r="M12" i="1"/>
  <c r="N12" i="1"/>
  <c r="R14" i="2"/>
  <c r="J14" i="2"/>
  <c r="H48" i="3"/>
  <c r="I48" i="3"/>
  <c r="D49" i="3"/>
  <c r="D32" i="3"/>
  <c r="I31" i="3"/>
  <c r="H31" i="3"/>
  <c r="H15" i="3"/>
  <c r="I15" i="3"/>
  <c r="D16" i="3"/>
  <c r="E15" i="2"/>
  <c r="D14" i="1"/>
  <c r="K13" i="1"/>
  <c r="G16" i="1"/>
  <c r="R15" i="2"/>
  <c r="J15" i="2"/>
  <c r="I49" i="3"/>
  <c r="H49" i="3"/>
  <c r="J49" i="3"/>
  <c r="K49" i="3"/>
  <c r="D50" i="3"/>
  <c r="H32" i="3"/>
  <c r="I32" i="3"/>
  <c r="D33" i="3"/>
  <c r="I16" i="3"/>
  <c r="H16" i="3"/>
  <c r="J16" i="3"/>
  <c r="K16" i="3"/>
  <c r="J15" i="3"/>
  <c r="K15" i="3"/>
  <c r="L15" i="3"/>
  <c r="D17" i="3"/>
  <c r="E16" i="2"/>
  <c r="G17" i="1"/>
  <c r="D15" i="1"/>
  <c r="K14" i="1"/>
  <c r="H14" i="1"/>
  <c r="I14" i="1"/>
  <c r="J14" i="1"/>
  <c r="L14" i="1"/>
  <c r="M14" i="1"/>
  <c r="R16" i="2"/>
  <c r="S16" i="2"/>
  <c r="T16" i="2"/>
  <c r="J16" i="2"/>
  <c r="K16" i="2"/>
  <c r="L16" i="2"/>
  <c r="I50" i="3"/>
  <c r="H50" i="3"/>
  <c r="D51" i="3"/>
  <c r="J32" i="3"/>
  <c r="K32" i="3"/>
  <c r="I33" i="3"/>
  <c r="H33" i="3"/>
  <c r="J33" i="3"/>
  <c r="K33" i="3"/>
  <c r="D34" i="3"/>
  <c r="H17" i="3"/>
  <c r="I17" i="3"/>
  <c r="J17" i="3"/>
  <c r="K17" i="3"/>
  <c r="L17" i="3"/>
  <c r="D18" i="3"/>
  <c r="E17" i="2"/>
  <c r="K15" i="1"/>
  <c r="D16" i="1"/>
  <c r="H15" i="1"/>
  <c r="I15" i="1"/>
  <c r="J15" i="1"/>
  <c r="G18" i="1"/>
  <c r="R17" i="2"/>
  <c r="J17" i="2"/>
  <c r="J50" i="3"/>
  <c r="K50" i="3"/>
  <c r="I51" i="3"/>
  <c r="H51" i="3"/>
  <c r="J51" i="3"/>
  <c r="K51" i="3"/>
  <c r="L51" i="3"/>
  <c r="D52" i="3"/>
  <c r="I34" i="3"/>
  <c r="H34" i="3"/>
  <c r="J34" i="3"/>
  <c r="K34" i="3"/>
  <c r="D35" i="3"/>
  <c r="I18" i="3"/>
  <c r="H18" i="3"/>
  <c r="J18" i="3"/>
  <c r="K18" i="3"/>
  <c r="D19" i="3"/>
  <c r="E18" i="2"/>
  <c r="G19" i="1"/>
  <c r="K16" i="1"/>
  <c r="D17" i="1"/>
  <c r="H16" i="1"/>
  <c r="I16" i="1"/>
  <c r="J16" i="1"/>
  <c r="R18" i="2"/>
  <c r="J18" i="2"/>
  <c r="I52" i="3"/>
  <c r="D53" i="3"/>
  <c r="H52" i="3"/>
  <c r="J52" i="3"/>
  <c r="K52" i="3"/>
  <c r="D36" i="3"/>
  <c r="I35" i="3"/>
  <c r="H35" i="3"/>
  <c r="J35" i="3"/>
  <c r="K35" i="3"/>
  <c r="H19" i="3"/>
  <c r="I19" i="3"/>
  <c r="D20" i="3"/>
  <c r="E19" i="2"/>
  <c r="K17" i="1"/>
  <c r="D18" i="1"/>
  <c r="H17" i="1"/>
  <c r="I17" i="1"/>
  <c r="J17" i="1"/>
  <c r="L17" i="1"/>
  <c r="M17" i="1"/>
  <c r="G20" i="1"/>
  <c r="R19" i="2"/>
  <c r="J19" i="2"/>
  <c r="I53" i="3"/>
  <c r="H53" i="3"/>
  <c r="J53" i="3"/>
  <c r="K53" i="3"/>
  <c r="D54" i="3"/>
  <c r="I36" i="3"/>
  <c r="H36" i="3"/>
  <c r="J36" i="3"/>
  <c r="K36" i="3"/>
  <c r="D37" i="3"/>
  <c r="H20" i="3"/>
  <c r="I20" i="3"/>
  <c r="J19" i="3"/>
  <c r="K19" i="3"/>
  <c r="D21" i="3"/>
  <c r="E20" i="2"/>
  <c r="G21" i="1"/>
  <c r="D19" i="1"/>
  <c r="K18" i="1"/>
  <c r="H18" i="1"/>
  <c r="I18" i="1"/>
  <c r="J18" i="1"/>
  <c r="R20" i="2"/>
  <c r="J20" i="2"/>
  <c r="K20" i="2"/>
  <c r="L20" i="2"/>
  <c r="I54" i="3"/>
  <c r="H54" i="3"/>
  <c r="J54" i="3"/>
  <c r="K54" i="3"/>
  <c r="D55" i="3"/>
  <c r="I37" i="3"/>
  <c r="H37" i="3"/>
  <c r="D38" i="3"/>
  <c r="H21" i="3"/>
  <c r="I21" i="3"/>
  <c r="J21" i="3"/>
  <c r="K21" i="3"/>
  <c r="D22" i="3"/>
  <c r="E21" i="2"/>
  <c r="D20" i="1"/>
  <c r="K19" i="1"/>
  <c r="H19" i="1"/>
  <c r="I19" i="1"/>
  <c r="J19" i="1"/>
  <c r="G22" i="1"/>
  <c r="R21" i="2"/>
  <c r="J21" i="2"/>
  <c r="I55" i="3"/>
  <c r="H55" i="3"/>
  <c r="J55" i="3"/>
  <c r="K55" i="3"/>
  <c r="D56" i="3"/>
  <c r="H38" i="3"/>
  <c r="J38" i="3"/>
  <c r="K38" i="3"/>
  <c r="I38" i="3"/>
  <c r="D39" i="3"/>
  <c r="H22" i="3"/>
  <c r="I22" i="3"/>
  <c r="D23" i="3"/>
  <c r="E22" i="2"/>
  <c r="G23" i="1"/>
  <c r="D21" i="1"/>
  <c r="K20" i="1"/>
  <c r="L20" i="1"/>
  <c r="M20" i="1"/>
  <c r="H20" i="1"/>
  <c r="I20" i="1"/>
  <c r="J20" i="1"/>
  <c r="R22" i="2"/>
  <c r="J22" i="2"/>
  <c r="K22" i="2"/>
  <c r="L22" i="2"/>
  <c r="D57" i="3"/>
  <c r="I56" i="3"/>
  <c r="H56" i="3"/>
  <c r="D40" i="3"/>
  <c r="I39" i="3"/>
  <c r="H39" i="3"/>
  <c r="J39" i="3"/>
  <c r="K39" i="3"/>
  <c r="H23" i="3"/>
  <c r="J23" i="3"/>
  <c r="K23" i="3"/>
  <c r="I23" i="3"/>
  <c r="D24" i="3"/>
  <c r="D22" i="1"/>
  <c r="K21" i="1"/>
  <c r="H21" i="1"/>
  <c r="I21" i="1"/>
  <c r="J21" i="1"/>
  <c r="L21" i="1"/>
  <c r="M21" i="1"/>
  <c r="I57" i="3"/>
  <c r="H57" i="3"/>
  <c r="J57" i="3"/>
  <c r="K57" i="3"/>
  <c r="D58" i="3"/>
  <c r="I40" i="3"/>
  <c r="J40" i="3"/>
  <c r="K40" i="3"/>
  <c r="L40" i="3"/>
  <c r="H40" i="3"/>
  <c r="D41" i="3"/>
  <c r="H24" i="3"/>
  <c r="J24" i="3"/>
  <c r="K24" i="3"/>
  <c r="L24" i="3"/>
  <c r="I24" i="3"/>
  <c r="K22" i="1"/>
  <c r="D23" i="1"/>
  <c r="H22" i="1"/>
  <c r="I22" i="1"/>
  <c r="J22" i="1"/>
  <c r="I58" i="3"/>
  <c r="H58" i="3"/>
  <c r="J58" i="3"/>
  <c r="K58" i="3"/>
  <c r="L58" i="3"/>
  <c r="H41" i="3"/>
  <c r="I41" i="3"/>
  <c r="K23" i="1"/>
  <c r="H23" i="1"/>
  <c r="I23" i="1"/>
  <c r="J23" i="1"/>
  <c r="L23" i="1"/>
  <c r="M23" i="1"/>
  <c r="H11" i="2"/>
  <c r="O11" i="2"/>
  <c r="P11" i="2"/>
  <c r="Q11" i="2"/>
  <c r="I11" i="2"/>
  <c r="K11" i="2"/>
  <c r="L11" i="2"/>
  <c r="M11" i="2"/>
  <c r="H12" i="2"/>
  <c r="O12" i="2"/>
  <c r="P12" i="2"/>
  <c r="Q12" i="2"/>
  <c r="S12" i="2"/>
  <c r="T12" i="2"/>
  <c r="H13" i="2"/>
  <c r="I12" i="2"/>
  <c r="K12" i="2"/>
  <c r="L12" i="2"/>
  <c r="I13" i="2"/>
  <c r="H14" i="2"/>
  <c r="O13" i="2"/>
  <c r="P13" i="2"/>
  <c r="Q13" i="2"/>
  <c r="S13" i="2"/>
  <c r="T13" i="2"/>
  <c r="I14" i="2"/>
  <c r="K14" i="2"/>
  <c r="L14" i="2"/>
  <c r="H15" i="2"/>
  <c r="O14" i="2"/>
  <c r="P14" i="2"/>
  <c r="Q14" i="2"/>
  <c r="S14" i="2"/>
  <c r="T14" i="2"/>
  <c r="I15" i="2"/>
  <c r="H16" i="2"/>
  <c r="O15" i="2"/>
  <c r="P15" i="2"/>
  <c r="Q15" i="2"/>
  <c r="S15" i="2"/>
  <c r="T15" i="2"/>
  <c r="U15" i="2"/>
  <c r="I16" i="2"/>
  <c r="H17" i="2"/>
  <c r="O16" i="2"/>
  <c r="P16" i="2"/>
  <c r="Q16" i="2"/>
  <c r="I17" i="2"/>
  <c r="H18" i="2"/>
  <c r="O17" i="2"/>
  <c r="P17" i="2"/>
  <c r="Q17" i="2"/>
  <c r="S17" i="2"/>
  <c r="T17" i="2"/>
  <c r="U18" i="2"/>
  <c r="I18" i="2"/>
  <c r="H19" i="2"/>
  <c r="O18" i="2"/>
  <c r="P18" i="2"/>
  <c r="Q18" i="2"/>
  <c r="S18" i="2"/>
  <c r="T18" i="2"/>
  <c r="U19" i="2"/>
  <c r="I19" i="2"/>
  <c r="K19" i="2"/>
  <c r="L19" i="2"/>
  <c r="O19" i="2"/>
  <c r="P19" i="2"/>
  <c r="Q19" i="2"/>
  <c r="S19" i="2"/>
  <c r="T19" i="2"/>
  <c r="H20" i="2"/>
  <c r="I20" i="2"/>
  <c r="O20" i="2"/>
  <c r="P20" i="2"/>
  <c r="Q20" i="2"/>
  <c r="H21" i="2"/>
  <c r="I21" i="2"/>
  <c r="K21" i="2"/>
  <c r="L21" i="2"/>
  <c r="O21" i="2"/>
  <c r="P21" i="2"/>
  <c r="Q21" i="2"/>
  <c r="H22" i="2"/>
  <c r="O22" i="2"/>
  <c r="P22" i="2"/>
  <c r="Q22" i="2"/>
  <c r="S22" i="2"/>
  <c r="T22" i="2"/>
  <c r="I22" i="2"/>
  <c r="H3" i="10"/>
  <c r="I3" i="10"/>
  <c r="H4" i="10"/>
  <c r="I4" i="10"/>
  <c r="M12" i="2"/>
  <c r="U12" i="2"/>
  <c r="U11" i="2"/>
  <c r="K17" i="2"/>
  <c r="L17" i="2"/>
  <c r="L39" i="3"/>
  <c r="J20" i="3"/>
  <c r="K20" i="3"/>
  <c r="L21" i="3"/>
  <c r="J56" i="3"/>
  <c r="K56" i="3"/>
  <c r="L56" i="3"/>
  <c r="L55" i="3"/>
  <c r="K13" i="2"/>
  <c r="L13" i="2"/>
  <c r="M14" i="2"/>
  <c r="J48" i="3"/>
  <c r="K48" i="3"/>
  <c r="L48" i="3"/>
  <c r="K18" i="2"/>
  <c r="L18" i="2"/>
  <c r="M18" i="2"/>
  <c r="S21" i="2"/>
  <c r="T21" i="2"/>
  <c r="U22" i="2"/>
  <c r="J37" i="3"/>
  <c r="K37" i="3"/>
  <c r="L18" i="1"/>
  <c r="M18" i="1"/>
  <c r="S20" i="2"/>
  <c r="T20" i="2"/>
  <c r="U20" i="2"/>
  <c r="M22" i="2"/>
  <c r="L16" i="3"/>
  <c r="J22" i="3"/>
  <c r="K22" i="3"/>
  <c r="L23" i="3"/>
  <c r="L19" i="1"/>
  <c r="M19" i="1"/>
  <c r="N20" i="1"/>
  <c r="K15" i="2"/>
  <c r="L15" i="2"/>
  <c r="M15" i="2"/>
  <c r="J31" i="3"/>
  <c r="K31" i="3"/>
  <c r="L32" i="3"/>
  <c r="L52" i="3"/>
  <c r="J41" i="3"/>
  <c r="K41" i="3"/>
  <c r="L41" i="3"/>
  <c r="L16" i="1"/>
  <c r="M16" i="1"/>
  <c r="N16" i="1"/>
  <c r="L13" i="1"/>
  <c r="M13" i="1"/>
  <c r="U13" i="2"/>
  <c r="N21" i="1"/>
  <c r="L15" i="1"/>
  <c r="M15" i="1"/>
  <c r="N15" i="1"/>
  <c r="L22" i="1"/>
  <c r="M22" i="1"/>
  <c r="M17" i="2"/>
  <c r="L31" i="3"/>
  <c r="U16" i="2"/>
  <c r="U17" i="2"/>
  <c r="L19" i="3"/>
  <c r="L18" i="3"/>
  <c r="L33" i="3"/>
  <c r="L34" i="3"/>
  <c r="M20" i="2"/>
  <c r="M21" i="2"/>
  <c r="L20" i="3"/>
  <c r="L38" i="3"/>
  <c r="L37" i="3"/>
  <c r="L53" i="3"/>
  <c r="L54" i="3"/>
  <c r="U14" i="2"/>
  <c r="N22" i="1"/>
  <c r="N23" i="1"/>
  <c r="L57" i="3"/>
  <c r="L50" i="3"/>
  <c r="N18" i="1"/>
  <c r="N14" i="1"/>
  <c r="N13" i="1"/>
  <c r="L36" i="3"/>
  <c r="L35" i="3"/>
  <c r="J31" i="2"/>
  <c r="L31" i="2"/>
  <c r="M31" i="2"/>
  <c r="I32" i="2"/>
  <c r="C16" i="10"/>
  <c r="D15" i="10"/>
  <c r="D28" i="10"/>
  <c r="C30" i="10"/>
  <c r="D29" i="10"/>
  <c r="D3" i="10"/>
  <c r="B15" i="11"/>
  <c r="C5" i="10"/>
  <c r="F15" i="10"/>
  <c r="A16" i="11"/>
  <c r="A17" i="11"/>
  <c r="H5" i="10"/>
  <c r="I5" i="10"/>
  <c r="U21" i="2"/>
  <c r="M13" i="2"/>
  <c r="N17" i="1"/>
  <c r="N19" i="1"/>
  <c r="M19" i="2"/>
  <c r="M16" i="2"/>
  <c r="L49" i="3"/>
  <c r="L22" i="3"/>
  <c r="J32" i="2"/>
  <c r="K32" i="2"/>
  <c r="C17" i="10"/>
  <c r="D16" i="10"/>
  <c r="C15" i="11"/>
  <c r="M15" i="11"/>
  <c r="A18" i="11"/>
  <c r="A19" i="11"/>
  <c r="D4" i="10"/>
  <c r="C6" i="10"/>
  <c r="K4" i="10"/>
  <c r="H15" i="10"/>
  <c r="I15" i="10"/>
  <c r="B16" i="11"/>
  <c r="C16" i="11"/>
  <c r="N15" i="11"/>
  <c r="H16" i="10"/>
  <c r="I16" i="10"/>
  <c r="H6" i="10"/>
  <c r="I6" i="10"/>
  <c r="T15" i="15"/>
  <c r="L32" i="2"/>
  <c r="M32" i="2"/>
  <c r="C18" i="10"/>
  <c r="D17" i="10"/>
  <c r="O15" i="11"/>
  <c r="P15" i="11"/>
  <c r="D5" i="10"/>
  <c r="B17" i="11"/>
  <c r="C7" i="10"/>
  <c r="A20" i="11"/>
  <c r="A21" i="11"/>
  <c r="M16" i="11"/>
  <c r="N16" i="11"/>
  <c r="AO15" i="15"/>
  <c r="H7" i="10"/>
  <c r="I7" i="10"/>
  <c r="H17" i="10"/>
  <c r="I17" i="10"/>
  <c r="C19" i="10"/>
  <c r="C20" i="10"/>
  <c r="T16" i="15"/>
  <c r="AL16" i="15"/>
  <c r="AO16" i="15"/>
  <c r="Q15" i="11"/>
  <c r="AL15" i="11"/>
  <c r="AO15" i="11"/>
  <c r="A22" i="11"/>
  <c r="A23" i="11"/>
  <c r="A24" i="11"/>
  <c r="D6" i="10"/>
  <c r="B18" i="11"/>
  <c r="C8" i="10"/>
  <c r="C17" i="11"/>
  <c r="M17" i="11"/>
  <c r="O16" i="11"/>
  <c r="P16" i="11"/>
  <c r="R16" i="11"/>
  <c r="V16" i="11"/>
  <c r="D18" i="10"/>
  <c r="H8" i="10"/>
  <c r="I8" i="10"/>
  <c r="T17" i="15"/>
  <c r="T27" i="15"/>
  <c r="H18" i="10"/>
  <c r="I18" i="10"/>
  <c r="S16" i="11"/>
  <c r="U16" i="11"/>
  <c r="W16" i="11"/>
  <c r="R15" i="11"/>
  <c r="V15" i="11"/>
  <c r="N17" i="11"/>
  <c r="O17" i="11"/>
  <c r="P17" i="11"/>
  <c r="R17" i="11"/>
  <c r="V17" i="11"/>
  <c r="A25" i="11"/>
  <c r="A26" i="11"/>
  <c r="A27" i="11"/>
  <c r="T15" i="11"/>
  <c r="D7" i="10"/>
  <c r="B19" i="11"/>
  <c r="C9" i="10"/>
  <c r="D19" i="10"/>
  <c r="C21" i="10"/>
  <c r="C18" i="11"/>
  <c r="N18" i="11"/>
  <c r="Q16" i="11"/>
  <c r="Z16" i="11"/>
  <c r="X16" i="11"/>
  <c r="AI15" i="15"/>
  <c r="AJ15" i="15"/>
  <c r="AB15" i="15"/>
  <c r="AL17" i="15"/>
  <c r="AO17" i="15"/>
  <c r="AO27" i="15"/>
  <c r="T18" i="15"/>
  <c r="T28" i="15"/>
  <c r="H19" i="10"/>
  <c r="I19" i="10"/>
  <c r="H9" i="10"/>
  <c r="I9" i="10"/>
  <c r="S17" i="11"/>
  <c r="U17" i="11"/>
  <c r="W17" i="11"/>
  <c r="S15" i="11"/>
  <c r="W15" i="11"/>
  <c r="Q17" i="11"/>
  <c r="T16" i="11"/>
  <c r="M18" i="11"/>
  <c r="D20" i="10"/>
  <c r="C22" i="10"/>
  <c r="D8" i="10"/>
  <c r="B20" i="11"/>
  <c r="C10" i="10"/>
  <c r="C19" i="11"/>
  <c r="M19" i="11"/>
  <c r="A28" i="11"/>
  <c r="B28" i="11"/>
  <c r="Z17" i="11"/>
  <c r="X17" i="11"/>
  <c r="Z15" i="11"/>
  <c r="X15" i="11"/>
  <c r="AB27" i="15"/>
  <c r="AD27" i="15"/>
  <c r="AF27" i="15"/>
  <c r="AD15" i="15"/>
  <c r="AF15" i="15"/>
  <c r="AC15" i="15"/>
  <c r="AE15" i="15"/>
  <c r="AN15" i="15"/>
  <c r="AL18" i="15"/>
  <c r="AO18" i="15"/>
  <c r="T19" i="15"/>
  <c r="H20" i="10"/>
  <c r="I20" i="10"/>
  <c r="H10" i="10"/>
  <c r="I10" i="10"/>
  <c r="T29" i="15"/>
  <c r="AO28" i="15"/>
  <c r="N19" i="11"/>
  <c r="O19" i="11"/>
  <c r="P19" i="11"/>
  <c r="R19" i="11"/>
  <c r="V19" i="11"/>
  <c r="AD19" i="11"/>
  <c r="C28" i="11"/>
  <c r="M28" i="11"/>
  <c r="D21" i="10"/>
  <c r="C23" i="10"/>
  <c r="C11" i="10"/>
  <c r="D9" i="10"/>
  <c r="B21" i="11"/>
  <c r="C20" i="11"/>
  <c r="N20" i="11"/>
  <c r="O18" i="11"/>
  <c r="P18" i="11"/>
  <c r="R18" i="11"/>
  <c r="V18" i="11"/>
  <c r="A29" i="11"/>
  <c r="B29" i="11"/>
  <c r="AJ15" i="11"/>
  <c r="AN15" i="11"/>
  <c r="AI16" i="15"/>
  <c r="AB17" i="15"/>
  <c r="AC17" i="15"/>
  <c r="AE17" i="15"/>
  <c r="AG15" i="15"/>
  <c r="AM15" i="15"/>
  <c r="AP15" i="15"/>
  <c r="AB16" i="15"/>
  <c r="AD16" i="15"/>
  <c r="AF16" i="15"/>
  <c r="AC27" i="15"/>
  <c r="AE27" i="15"/>
  <c r="AL19" i="15"/>
  <c r="AO19" i="15"/>
  <c r="AO29" i="15"/>
  <c r="H21" i="10"/>
  <c r="I21" i="10"/>
  <c r="AO30" i="15"/>
  <c r="T30" i="15"/>
  <c r="H11" i="10"/>
  <c r="I11" i="10"/>
  <c r="T20" i="15"/>
  <c r="S19" i="11"/>
  <c r="U19" i="11"/>
  <c r="S18" i="11"/>
  <c r="U18" i="11"/>
  <c r="N28" i="11"/>
  <c r="AF15" i="11"/>
  <c r="AE15" i="11"/>
  <c r="AC16" i="15"/>
  <c r="AE16" i="15"/>
  <c r="AB18" i="15"/>
  <c r="AD18" i="15"/>
  <c r="AF18" i="15"/>
  <c r="AD17" i="15"/>
  <c r="AF17" i="15"/>
  <c r="AG17" i="15"/>
  <c r="AM17" i="15"/>
  <c r="AG16" i="15"/>
  <c r="AM16" i="15"/>
  <c r="AJ16" i="15"/>
  <c r="AN16" i="15"/>
  <c r="AI17" i="15"/>
  <c r="AI27" i="15"/>
  <c r="AG27" i="15"/>
  <c r="AM27" i="15"/>
  <c r="T31" i="15"/>
  <c r="H22" i="10"/>
  <c r="I22" i="10"/>
  <c r="H12" i="10"/>
  <c r="I12" i="10"/>
  <c r="T21" i="15"/>
  <c r="AL20" i="15"/>
  <c r="AO20" i="15"/>
  <c r="T17" i="11"/>
  <c r="C29" i="11"/>
  <c r="N29" i="11"/>
  <c r="O28" i="11"/>
  <c r="P28" i="11"/>
  <c r="Q19" i="11"/>
  <c r="W19" i="11"/>
  <c r="Q18" i="11"/>
  <c r="W18" i="11"/>
  <c r="M20" i="11"/>
  <c r="C21" i="11"/>
  <c r="N21" i="11"/>
  <c r="D10" i="10"/>
  <c r="B22" i="11"/>
  <c r="C12" i="10"/>
  <c r="D22" i="10"/>
  <c r="C24" i="10"/>
  <c r="A30" i="11"/>
  <c r="AM15" i="11"/>
  <c r="Z18" i="11"/>
  <c r="X18" i="11"/>
  <c r="Z19" i="11"/>
  <c r="X19" i="11"/>
  <c r="AI18" i="15"/>
  <c r="AP16" i="15"/>
  <c r="AC18" i="15"/>
  <c r="AE18" i="15"/>
  <c r="AG18" i="15"/>
  <c r="AM18" i="15"/>
  <c r="AI28" i="15"/>
  <c r="AB28" i="15"/>
  <c r="AD28" i="15"/>
  <c r="AF28" i="15"/>
  <c r="AJ17" i="15"/>
  <c r="AN17" i="15"/>
  <c r="AP17" i="15"/>
  <c r="AJ27" i="15"/>
  <c r="AN27" i="15"/>
  <c r="AP27" i="15"/>
  <c r="AO31" i="15"/>
  <c r="AL21" i="15"/>
  <c r="AO21" i="15"/>
  <c r="H23" i="10"/>
  <c r="I23" i="10"/>
  <c r="T32" i="15"/>
  <c r="H13" i="10"/>
  <c r="I13" i="10"/>
  <c r="T22" i="15"/>
  <c r="T28" i="11"/>
  <c r="R28" i="11"/>
  <c r="V28" i="11"/>
  <c r="T19" i="11"/>
  <c r="Q28" i="11"/>
  <c r="M29" i="11"/>
  <c r="A31" i="11"/>
  <c r="B30" i="11"/>
  <c r="T18" i="11"/>
  <c r="O20" i="11"/>
  <c r="P20" i="11"/>
  <c r="R20" i="11"/>
  <c r="V20" i="11"/>
  <c r="C25" i="10"/>
  <c r="D23" i="10"/>
  <c r="D11" i="10"/>
  <c r="B23" i="11"/>
  <c r="C13" i="10"/>
  <c r="C22" i="11"/>
  <c r="M22" i="11"/>
  <c r="M21" i="11"/>
  <c r="AC28" i="15"/>
  <c r="AE28" i="15"/>
  <c r="AG28" i="15"/>
  <c r="AM28" i="15"/>
  <c r="AI29" i="15"/>
  <c r="AJ29" i="15"/>
  <c r="AN29" i="15"/>
  <c r="AB29" i="15"/>
  <c r="AC29" i="15"/>
  <c r="AE29" i="15"/>
  <c r="AB20" i="15"/>
  <c r="AC20" i="15"/>
  <c r="AE20" i="15"/>
  <c r="AB19" i="15"/>
  <c r="AD19" i="15"/>
  <c r="AF19" i="15"/>
  <c r="AI19" i="15"/>
  <c r="AJ18" i="15"/>
  <c r="AN18" i="15"/>
  <c r="AP18" i="15"/>
  <c r="AJ28" i="15"/>
  <c r="AN28" i="15"/>
  <c r="AO32" i="15"/>
  <c r="AL22" i="15"/>
  <c r="AO22" i="15"/>
  <c r="H14" i="10"/>
  <c r="I14" i="10"/>
  <c r="T23" i="15"/>
  <c r="H24" i="10"/>
  <c r="I24" i="10"/>
  <c r="T33" i="15"/>
  <c r="S20" i="11"/>
  <c r="U20" i="11"/>
  <c r="W20" i="11"/>
  <c r="S28" i="11"/>
  <c r="U28" i="11"/>
  <c r="W28" i="11"/>
  <c r="C30" i="11"/>
  <c r="N30" i="11"/>
  <c r="A32" i="11"/>
  <c r="B31" i="11"/>
  <c r="O29" i="11"/>
  <c r="P29" i="11"/>
  <c r="T29" i="11"/>
  <c r="N22" i="11"/>
  <c r="O22" i="11"/>
  <c r="P22" i="11"/>
  <c r="R22" i="11"/>
  <c r="V22" i="11"/>
  <c r="Q20" i="11"/>
  <c r="C23" i="11"/>
  <c r="M23" i="11"/>
  <c r="D24" i="10"/>
  <c r="C26" i="10"/>
  <c r="O21" i="11"/>
  <c r="P21" i="11"/>
  <c r="R21" i="11"/>
  <c r="V21" i="11"/>
  <c r="C14" i="10"/>
  <c r="D12" i="10"/>
  <c r="B24" i="11"/>
  <c r="Z28" i="11"/>
  <c r="X28" i="11"/>
  <c r="Z20" i="11"/>
  <c r="X20" i="11"/>
  <c r="AB21" i="15"/>
  <c r="AD21" i="15"/>
  <c r="AF21" i="15"/>
  <c r="AD29" i="15"/>
  <c r="AF29" i="15"/>
  <c r="AG29" i="15"/>
  <c r="AM29" i="15"/>
  <c r="AP29" i="15"/>
  <c r="AB30" i="15"/>
  <c r="AD30" i="15"/>
  <c r="AF30" i="15"/>
  <c r="AC19" i="15"/>
  <c r="AE19" i="15"/>
  <c r="AG19" i="15"/>
  <c r="AM19" i="15"/>
  <c r="AI20" i="15"/>
  <c r="AJ20" i="15"/>
  <c r="AN20" i="15"/>
  <c r="AJ19" i="15"/>
  <c r="AN19" i="15"/>
  <c r="AD20" i="15"/>
  <c r="AF20" i="15"/>
  <c r="AP28" i="15"/>
  <c r="AL23" i="15"/>
  <c r="AO23" i="15"/>
  <c r="T34" i="15"/>
  <c r="T24" i="15"/>
  <c r="AO33" i="15"/>
  <c r="H25" i="10"/>
  <c r="I25" i="10"/>
  <c r="S21" i="11"/>
  <c r="U21" i="11"/>
  <c r="W21" i="11"/>
  <c r="S22" i="11"/>
  <c r="U22" i="11"/>
  <c r="W22" i="11"/>
  <c r="R29" i="11"/>
  <c r="V29" i="11"/>
  <c r="Q29" i="11"/>
  <c r="T22" i="11"/>
  <c r="C31" i="11"/>
  <c r="M31" i="11"/>
  <c r="Q21" i="11"/>
  <c r="A33" i="11"/>
  <c r="B32" i="11"/>
  <c r="M30" i="11"/>
  <c r="Q22" i="11"/>
  <c r="N23" i="11"/>
  <c r="O23" i="11"/>
  <c r="P23" i="11"/>
  <c r="R23" i="11"/>
  <c r="V23" i="11"/>
  <c r="D13" i="10"/>
  <c r="B25" i="11"/>
  <c r="C15" i="10"/>
  <c r="C24" i="11"/>
  <c r="M24" i="11"/>
  <c r="D25" i="10"/>
  <c r="C27" i="10"/>
  <c r="X22" i="11"/>
  <c r="Z22" i="11"/>
  <c r="Z21" i="11"/>
  <c r="X21" i="11"/>
  <c r="AC30" i="15"/>
  <c r="AE30" i="15"/>
  <c r="AG30" i="15"/>
  <c r="AM30" i="15"/>
  <c r="AC21" i="15"/>
  <c r="AE21" i="15"/>
  <c r="AG21" i="15"/>
  <c r="AM21" i="15"/>
  <c r="AB31" i="15"/>
  <c r="AI31" i="15"/>
  <c r="AG20" i="15"/>
  <c r="AM20" i="15"/>
  <c r="AP20" i="15"/>
  <c r="AP19" i="15"/>
  <c r="AI21" i="15"/>
  <c r="AI30" i="15"/>
  <c r="AL24" i="15"/>
  <c r="AO24" i="15"/>
  <c r="AO34" i="15"/>
  <c r="H26" i="10"/>
  <c r="I26" i="10"/>
  <c r="T35" i="15"/>
  <c r="T25" i="15"/>
  <c r="T26" i="15"/>
  <c r="S23" i="11"/>
  <c r="U23" i="11"/>
  <c r="S29" i="11"/>
  <c r="U29" i="11"/>
  <c r="W29" i="11"/>
  <c r="X29" i="11"/>
  <c r="Z29" i="11"/>
  <c r="W23" i="11"/>
  <c r="AD31" i="15"/>
  <c r="AF31" i="15"/>
  <c r="AC31" i="15"/>
  <c r="AE31" i="15"/>
  <c r="AI32" i="15"/>
  <c r="AB32" i="15"/>
  <c r="AD32" i="15"/>
  <c r="AF32" i="15"/>
  <c r="AB22" i="15"/>
  <c r="AC22" i="15"/>
  <c r="AE22" i="15"/>
  <c r="AI22" i="15"/>
  <c r="AJ21" i="15"/>
  <c r="AN21" i="15"/>
  <c r="AP21" i="15"/>
  <c r="AJ30" i="15"/>
  <c r="AN30" i="15"/>
  <c r="AP30" i="15"/>
  <c r="AJ31" i="15"/>
  <c r="AN31" i="15"/>
  <c r="AL25" i="15"/>
  <c r="AO25" i="15"/>
  <c r="AL26" i="15"/>
  <c r="AO26" i="15"/>
  <c r="AO35" i="15"/>
  <c r="T36" i="15"/>
  <c r="N31" i="11"/>
  <c r="O31" i="11"/>
  <c r="P31" i="11"/>
  <c r="R31" i="11"/>
  <c r="V31" i="11"/>
  <c r="C32" i="11"/>
  <c r="N32" i="11"/>
  <c r="O30" i="11"/>
  <c r="P30" i="11"/>
  <c r="T20" i="11"/>
  <c r="A34" i="11"/>
  <c r="B33" i="11"/>
  <c r="T21" i="11"/>
  <c r="Q23" i="11"/>
  <c r="N24" i="11"/>
  <c r="O24" i="11"/>
  <c r="P24" i="11"/>
  <c r="R24" i="11"/>
  <c r="V24" i="11"/>
  <c r="C25" i="11"/>
  <c r="N25" i="11"/>
  <c r="C28" i="10"/>
  <c r="D26" i="10"/>
  <c r="D14" i="10"/>
  <c r="B26" i="11"/>
  <c r="B27" i="11"/>
  <c r="Z23" i="11"/>
  <c r="X23" i="11"/>
  <c r="AD22" i="15"/>
  <c r="AF22" i="15"/>
  <c r="AG22" i="15"/>
  <c r="AM22" i="15"/>
  <c r="AG31" i="15"/>
  <c r="AM31" i="15"/>
  <c r="AP31" i="15"/>
  <c r="AI33" i="15"/>
  <c r="AJ33" i="15"/>
  <c r="AN33" i="15"/>
  <c r="AB33" i="15"/>
  <c r="AD33" i="15"/>
  <c r="AF33" i="15"/>
  <c r="AC32" i="15"/>
  <c r="AE32" i="15"/>
  <c r="AG32" i="15"/>
  <c r="AM32" i="15"/>
  <c r="AB23" i="15"/>
  <c r="AD23" i="15"/>
  <c r="AF23" i="15"/>
  <c r="AI23" i="15"/>
  <c r="AJ22" i="15"/>
  <c r="AN22" i="15"/>
  <c r="AJ32" i="15"/>
  <c r="AN32" i="15"/>
  <c r="AP32" i="15"/>
  <c r="T37" i="15"/>
  <c r="T38" i="15"/>
  <c r="AO36" i="15"/>
  <c r="S24" i="11"/>
  <c r="U24" i="11"/>
  <c r="S31" i="11"/>
  <c r="U31" i="11"/>
  <c r="T30" i="11"/>
  <c r="R30" i="11"/>
  <c r="V30" i="11"/>
  <c r="Q30" i="11"/>
  <c r="M32" i="11"/>
  <c r="Q31" i="11"/>
  <c r="T31" i="11"/>
  <c r="A35" i="11"/>
  <c r="B34" i="11"/>
  <c r="C33" i="11"/>
  <c r="M33" i="11"/>
  <c r="Q24" i="11"/>
  <c r="M25" i="11"/>
  <c r="C26" i="11"/>
  <c r="N26" i="11"/>
  <c r="C27" i="11"/>
  <c r="N27" i="11"/>
  <c r="D27" i="10"/>
  <c r="W31" i="11"/>
  <c r="W24" i="11"/>
  <c r="AI34" i="15"/>
  <c r="AJ34" i="15"/>
  <c r="AN34" i="15"/>
  <c r="AB25" i="15"/>
  <c r="AD25" i="15"/>
  <c r="AF25" i="15"/>
  <c r="AC23" i="15"/>
  <c r="AE23" i="15"/>
  <c r="AG23" i="15"/>
  <c r="AM23" i="15"/>
  <c r="AB24" i="15"/>
  <c r="AC24" i="15"/>
  <c r="AE24" i="15"/>
  <c r="AI24" i="15"/>
  <c r="Z26" i="15"/>
  <c r="AH26" i="15"/>
  <c r="AI26" i="15"/>
  <c r="AB35" i="15"/>
  <c r="AC35" i="15"/>
  <c r="AE35" i="15"/>
  <c r="AB34" i="15"/>
  <c r="AD34" i="15"/>
  <c r="AF34" i="15"/>
  <c r="AC33" i="15"/>
  <c r="AE33" i="15"/>
  <c r="AG33" i="15"/>
  <c r="AM33" i="15"/>
  <c r="AP33" i="15"/>
  <c r="AJ23" i="15"/>
  <c r="AN23" i="15"/>
  <c r="AP22" i="15"/>
  <c r="AO38" i="15"/>
  <c r="H4" i="15"/>
  <c r="H3" i="15"/>
  <c r="AO37" i="15"/>
  <c r="S30" i="11"/>
  <c r="U30" i="11"/>
  <c r="W30" i="11"/>
  <c r="O32" i="11"/>
  <c r="P32" i="11"/>
  <c r="Q32" i="11"/>
  <c r="O25" i="11"/>
  <c r="P25" i="11"/>
  <c r="R25" i="11"/>
  <c r="V25" i="11"/>
  <c r="M27" i="11"/>
  <c r="N33" i="11"/>
  <c r="O33" i="11"/>
  <c r="P33" i="11"/>
  <c r="Q33" i="11"/>
  <c r="C34" i="11"/>
  <c r="M34" i="11"/>
  <c r="A36" i="11"/>
  <c r="B35" i="11"/>
  <c r="T23" i="11"/>
  <c r="M26" i="11"/>
  <c r="X30" i="11"/>
  <c r="Z30" i="11"/>
  <c r="X24" i="11"/>
  <c r="Z24" i="11"/>
  <c r="X31" i="11"/>
  <c r="Z31" i="11"/>
  <c r="AD24" i="15"/>
  <c r="AF24" i="15"/>
  <c r="AG24" i="15"/>
  <c r="AM24" i="15"/>
  <c r="AD35" i="15"/>
  <c r="AF35" i="15"/>
  <c r="AG35" i="15"/>
  <c r="AM35" i="15"/>
  <c r="AC25" i="15"/>
  <c r="AE25" i="15"/>
  <c r="AG25" i="15"/>
  <c r="AM25" i="15"/>
  <c r="AB26" i="15"/>
  <c r="AD26" i="15"/>
  <c r="AF26" i="15"/>
  <c r="AB36" i="15"/>
  <c r="AC34" i="15"/>
  <c r="AE34" i="15"/>
  <c r="AG34" i="15"/>
  <c r="AM34" i="15"/>
  <c r="AP34" i="15"/>
  <c r="AP23" i="15"/>
  <c r="AJ24" i="15"/>
  <c r="AN24" i="15"/>
  <c r="S25" i="11"/>
  <c r="U25" i="11"/>
  <c r="W25" i="11"/>
  <c r="R32" i="11"/>
  <c r="V32" i="11"/>
  <c r="R33" i="11"/>
  <c r="V33" i="11"/>
  <c r="T32" i="11"/>
  <c r="O27" i="11"/>
  <c r="P27" i="11"/>
  <c r="T27" i="11"/>
  <c r="N34" i="11"/>
  <c r="O34" i="11"/>
  <c r="P34" i="11"/>
  <c r="R34" i="11"/>
  <c r="V34" i="11"/>
  <c r="T33" i="11"/>
  <c r="A37" i="11"/>
  <c r="B36" i="11"/>
  <c r="T24" i="11"/>
  <c r="C35" i="11"/>
  <c r="N35" i="11"/>
  <c r="Q25" i="11"/>
  <c r="O26" i="11"/>
  <c r="P26" i="11"/>
  <c r="Q26" i="11"/>
  <c r="X25" i="11"/>
  <c r="Z25" i="11"/>
  <c r="AC26" i="15"/>
  <c r="AI36" i="15"/>
  <c r="AJ36" i="15"/>
  <c r="AN36" i="15"/>
  <c r="AJ26" i="15"/>
  <c r="AN26" i="15"/>
  <c r="AP24" i="15"/>
  <c r="AD36" i="15"/>
  <c r="AF36" i="15"/>
  <c r="AC36" i="15"/>
  <c r="AE36" i="15"/>
  <c r="AI35" i="15"/>
  <c r="AI25" i="15"/>
  <c r="S33" i="11"/>
  <c r="U33" i="11"/>
  <c r="W33" i="11"/>
  <c r="S34" i="11"/>
  <c r="U34" i="11"/>
  <c r="S32" i="11"/>
  <c r="U32" i="11"/>
  <c r="W32" i="11"/>
  <c r="R27" i="11"/>
  <c r="V27" i="11"/>
  <c r="R26" i="11"/>
  <c r="V26" i="11"/>
  <c r="T34" i="11"/>
  <c r="Q34" i="11"/>
  <c r="Q27" i="11"/>
  <c r="Z32" i="11"/>
  <c r="X32" i="11"/>
  <c r="W34" i="11"/>
  <c r="Z33" i="11"/>
  <c r="X33" i="11"/>
  <c r="AE26" i="15"/>
  <c r="AG26" i="15"/>
  <c r="AM26" i="15"/>
  <c r="AP26" i="15"/>
  <c r="AI38" i="15"/>
  <c r="AB38" i="15"/>
  <c r="AD38" i="15"/>
  <c r="AF38" i="15"/>
  <c r="AB37" i="15"/>
  <c r="AD37" i="15"/>
  <c r="AF37" i="15"/>
  <c r="AI37" i="15"/>
  <c r="AJ25" i="15"/>
  <c r="AN25" i="15"/>
  <c r="AP25" i="15"/>
  <c r="AG36" i="15"/>
  <c r="AM36" i="15"/>
  <c r="AP36" i="15"/>
  <c r="AJ35" i="15"/>
  <c r="AN35" i="15"/>
  <c r="AP35" i="15"/>
  <c r="S27" i="11"/>
  <c r="U27" i="11"/>
  <c r="W27" i="11"/>
  <c r="S26" i="11"/>
  <c r="U26" i="11"/>
  <c r="W26" i="11"/>
  <c r="C36" i="11"/>
  <c r="M36" i="11"/>
  <c r="M35" i="11"/>
  <c r="A38" i="11"/>
  <c r="B37" i="11"/>
  <c r="Z26" i="11"/>
  <c r="X26" i="11"/>
  <c r="X34" i="11"/>
  <c r="Z34" i="11"/>
  <c r="Z27" i="11"/>
  <c r="X27" i="11"/>
  <c r="AC37" i="15"/>
  <c r="AE37" i="15"/>
  <c r="AG37" i="15"/>
  <c r="AM37" i="15"/>
  <c r="AC38" i="15"/>
  <c r="AE38" i="15"/>
  <c r="AG38" i="15"/>
  <c r="AM38" i="15"/>
  <c r="AJ38" i="15"/>
  <c r="AN38" i="15"/>
  <c r="AJ37" i="15"/>
  <c r="AN37" i="15"/>
  <c r="N36" i="11"/>
  <c r="O36" i="11"/>
  <c r="P36" i="11"/>
  <c r="Q36" i="11"/>
  <c r="C37" i="11"/>
  <c r="M37" i="11"/>
  <c r="A39" i="11"/>
  <c r="B38" i="11"/>
  <c r="O35" i="11"/>
  <c r="P35" i="11"/>
  <c r="T35" i="11"/>
  <c r="T25" i="11"/>
  <c r="AB27" i="11"/>
  <c r="AH27" i="11"/>
  <c r="AI27" i="11"/>
  <c r="AJ27" i="11"/>
  <c r="AN27" i="11"/>
  <c r="AP38" i="15"/>
  <c r="AP37" i="15"/>
  <c r="R36" i="11"/>
  <c r="V36" i="11"/>
  <c r="R35" i="11"/>
  <c r="V35" i="11"/>
  <c r="Q35" i="11"/>
  <c r="N37" i="11"/>
  <c r="O37" i="11"/>
  <c r="P37" i="11"/>
  <c r="Q37" i="11"/>
  <c r="T36" i="11"/>
  <c r="C38" i="11"/>
  <c r="M38" i="11"/>
  <c r="A40" i="11"/>
  <c r="B40" i="11"/>
  <c r="B39" i="11"/>
  <c r="T26" i="11"/>
  <c r="AC27" i="11"/>
  <c r="AE27" i="11"/>
  <c r="AG27" i="11"/>
  <c r="AM27" i="11"/>
  <c r="AP27" i="11"/>
  <c r="AD27" i="11"/>
  <c r="AF27" i="11"/>
  <c r="S35" i="11"/>
  <c r="U35" i="11"/>
  <c r="W35" i="11"/>
  <c r="S36" i="11"/>
  <c r="U36" i="11"/>
  <c r="W36" i="11"/>
  <c r="R37" i="11"/>
  <c r="V37" i="11"/>
  <c r="T37" i="11"/>
  <c r="N38" i="11"/>
  <c r="O38" i="11"/>
  <c r="P38" i="11"/>
  <c r="Q38" i="11"/>
  <c r="C40" i="11"/>
  <c r="M40" i="11"/>
  <c r="C39" i="11"/>
  <c r="N39" i="11"/>
  <c r="X36" i="11"/>
  <c r="Z36" i="11"/>
  <c r="Z35" i="11"/>
  <c r="X35" i="11"/>
  <c r="S37" i="11"/>
  <c r="U37" i="11"/>
  <c r="W37" i="11"/>
  <c r="R38" i="11"/>
  <c r="V38" i="11"/>
  <c r="N40" i="11"/>
  <c r="O40" i="11"/>
  <c r="P40" i="11"/>
  <c r="T40" i="11"/>
  <c r="M39" i="11"/>
  <c r="T38" i="11"/>
  <c r="Z37" i="11"/>
  <c r="X37" i="11"/>
  <c r="S38" i="11"/>
  <c r="U38" i="11"/>
  <c r="W38" i="11"/>
  <c r="R40" i="11"/>
  <c r="V40" i="11"/>
  <c r="O39" i="11"/>
  <c r="P39" i="11"/>
  <c r="T39" i="11"/>
  <c r="H4" i="11"/>
  <c r="H3" i="11"/>
  <c r="Q40" i="11"/>
  <c r="Z38" i="11"/>
  <c r="X38" i="11"/>
  <c r="S40" i="11"/>
  <c r="U40" i="11"/>
  <c r="W40" i="11"/>
  <c r="R39" i="11"/>
  <c r="V39" i="11"/>
  <c r="Q39" i="11"/>
  <c r="Z40" i="11"/>
  <c r="X40" i="11"/>
  <c r="S39" i="11"/>
  <c r="U39" i="11"/>
  <c r="W39" i="11"/>
  <c r="X39" i="11"/>
  <c r="Z39" i="11"/>
</calcChain>
</file>

<file path=xl/sharedStrings.xml><?xml version="1.0" encoding="utf-8"?>
<sst xmlns="http://schemas.openxmlformats.org/spreadsheetml/2006/main" count="488" uniqueCount="210">
  <si>
    <t>Omschrijving</t>
  </si>
  <si>
    <t>Toelichting</t>
  </si>
  <si>
    <t>Uitgangspunten</t>
  </si>
  <si>
    <t>Soort grondslag</t>
  </si>
  <si>
    <t>De premieberekening wordt berekend op de aanlevering van een jaarsalaris</t>
  </si>
  <si>
    <t>Interpolatiemethode</t>
  </si>
  <si>
    <t>1 = SV-dagen, 2 = kalenderdagen</t>
  </si>
  <si>
    <t>Verloningen per jaar</t>
  </si>
  <si>
    <t>12 = maandelijks, 13 = 4 wekelijks</t>
  </si>
  <si>
    <t>Ingangsdatum dvb</t>
  </si>
  <si>
    <t>Laatste dag van dienstverband, in berekening inclusief</t>
  </si>
  <si>
    <t>Einddatum dvb</t>
  </si>
  <si>
    <t>Datum start dienstverband, in berekening inclusief</t>
  </si>
  <si>
    <t>Excedentregeling</t>
  </si>
  <si>
    <t>Geeft aan of een excedentregeling aanwezig is. Bij afwezigheid wordt er geen excedent grondslag bepaald.</t>
  </si>
  <si>
    <t>Leeftijd deelnemer</t>
  </si>
  <si>
    <t>De leeftijd van de deelnemer op 1 januari van het premiejaar, tbv ANW-hiaat premie</t>
  </si>
  <si>
    <t>Leeftijd partner</t>
  </si>
  <si>
    <t>De leeftijd van de partner van de deelnemer op 1 januari van het premiejaar, tbv ANW-hiaat premie</t>
  </si>
  <si>
    <t>Per periode</t>
  </si>
  <si>
    <t>Periode</t>
  </si>
  <si>
    <t>Periode in jaar, bij maandelijkse verloning zijn er 12 periodes en bij 4-wekelijkse verloning zijn er 13 periodes.</t>
  </si>
  <si>
    <t>Ingangsdatum</t>
  </si>
  <si>
    <t>Ingansdatum van de periode.</t>
  </si>
  <si>
    <t>Einddatum</t>
  </si>
  <si>
    <t>Einddatum van de periode.</t>
  </si>
  <si>
    <t>Peilloon (ft per jaar)</t>
  </si>
  <si>
    <t>Fulltime pensioengevend jaarsalaris - verplichte loonbestanddelen plus gekozen in variabel loon regeling, excl ploegendiensttoeslag</t>
  </si>
  <si>
    <t>Ploegen dienst toeslag</t>
  </si>
  <si>
    <t>Deel van de ploegendiensttoeslag dat meetelt in de Basisregeling. Dit zijn de verplichte delen volgens de cao plus gekozen in aanvullende ploegendiensttoeslag regeling</t>
  </si>
  <si>
    <t>Contract uren</t>
  </si>
  <si>
    <t>Het aantal uren van het vast dienstverband</t>
  </si>
  <si>
    <t>Uren voor regeling</t>
  </si>
  <si>
    <t>De pensioengevende uren per periode welke binnenkomen bij het pensioenfonds.</t>
  </si>
  <si>
    <t>Verlofuren voor regeling</t>
  </si>
  <si>
    <t>Het totaal aantal uren onbetaald verlof in de periode waarvoor met de Werknemer is afgesproken dat de pensioenopbouw wordt voortgezet.</t>
  </si>
  <si>
    <t>Voortzetting tijdens onbetaald ouderschapsverlof</t>
  </si>
  <si>
    <t>Indicatie of de uren voor onbetaald ouderschapsverlof worden voortgezet</t>
  </si>
  <si>
    <t>Verlof uren onbetaald ouderschapsverlof</t>
  </si>
  <si>
    <t>Het aantal uren onbetaald ouderschapsverlof</t>
  </si>
  <si>
    <t>Voortzetting tijdens overig onbetaald verlof</t>
  </si>
  <si>
    <t>Indicatie of de uren voor overig onbetaald verlof worden voortgezet</t>
  </si>
  <si>
    <t>Verlof uren overig onbetaald verlof</t>
  </si>
  <si>
    <t>Het aantal uren overig onbetaald verlof</t>
  </si>
  <si>
    <t>Normuren per week</t>
  </si>
  <si>
    <t>Normuren per week welke binnenkomen bij het pensioenfonds.</t>
  </si>
  <si>
    <t>Startdatum</t>
  </si>
  <si>
    <t>Relevante startdatum voor de deelnemer. Deze houdt rekening met ingang dienstverband and startdatum periode</t>
  </si>
  <si>
    <t>Relevante einddatum voor de deelnemer. Deze houdt rekening met einde dienstverband and einddatum periode</t>
  </si>
  <si>
    <t>Gewerkte dagen in periode</t>
  </si>
  <si>
    <t>De relevante gewerkte dagen in de periode</t>
  </si>
  <si>
    <t>Deel periode</t>
  </si>
  <si>
    <t>Toont het deel van de periode waarin de deelnemer deelneemt aan de regeling.</t>
  </si>
  <si>
    <t>Deel van jaar berekening</t>
  </si>
  <si>
    <t>Hulpkolom om van een jaarbedrag tot een periodebedrag te komen.</t>
  </si>
  <si>
    <t>Normuren periode</t>
  </si>
  <si>
    <t>Hier worden de normuren per week omgezet naar normuren per periode.</t>
  </si>
  <si>
    <t>Uren voor regeling, gemaximeerd</t>
  </si>
  <si>
    <t>Het aantal uren voor de regeling, gemaximeerd op het maximum aantal normuren in de periode</t>
  </si>
  <si>
    <t>Gegevens correct?</t>
  </si>
  <si>
    <t>Controle op de ingevoerde velden</t>
  </si>
  <si>
    <t>De verhouding tussen het opgegeven aantal uren dat meetelt in de periode en het maximum aantal uren naar rato van de deelname.</t>
  </si>
  <si>
    <t>De verhouding tussen het aantal uren Onbetaald Ouderschapsverlof en de het maximum aantal uren naar rato van de deelname.</t>
  </si>
  <si>
    <t>Basisregeling</t>
  </si>
  <si>
    <t>De premie per periode</t>
  </si>
  <si>
    <t>ANW-hiaat</t>
  </si>
  <si>
    <t>Verzekerd bedrag (gekozen)</t>
  </si>
  <si>
    <t>Door de Deelnemer gekozen verzekerd bedrag.</t>
  </si>
  <si>
    <t>Premie volgens tabel</t>
  </si>
  <si>
    <t>De premie per periode is afhankelijk van de leeftijd van de Deelnemer voor het bepalen van het Premietarief, de leeftijd van de partner van de Deelnemer voor het bepalen van het Koopsomtarief en het gekozen verzekerd bedrag.</t>
  </si>
  <si>
    <t>Samenvatting</t>
  </si>
  <si>
    <t>Premie basisregeling totaal</t>
  </si>
  <si>
    <t>De totaal verschuldigde premie voor de basisregeling</t>
  </si>
  <si>
    <t>Premie excedentregeling totaal</t>
  </si>
  <si>
    <t>De totaal verschuldigde premie voor de excedentregeling</t>
  </si>
  <si>
    <t>Premie ANW-hiaat</t>
  </si>
  <si>
    <t>De totaal verschuldigde premie voor de ANW-hiaat regeling</t>
  </si>
  <si>
    <t>Totaal</t>
  </si>
  <si>
    <t>De som van de bovenstaande premies</t>
  </si>
  <si>
    <t>jaarsalaris</t>
  </si>
  <si>
    <t>--&gt;</t>
  </si>
  <si>
    <t>=</t>
  </si>
  <si>
    <t>aan te passen veld</t>
  </si>
  <si>
    <t>Aangeleverd salaris, uren en verlof</t>
  </si>
  <si>
    <t>Berekening voor gebroken periodes</t>
  </si>
  <si>
    <t>RegKnmrk</t>
  </si>
  <si>
    <t>U0757-2010</t>
  </si>
  <si>
    <t>U0757-2020</t>
  </si>
  <si>
    <t>RegLn</t>
  </si>
  <si>
    <t>OnrTsl</t>
  </si>
  <si>
    <t>VerlofUReg</t>
  </si>
  <si>
    <t>UrenVerl (OSP)</t>
  </si>
  <si>
    <t>UrenVerl</t>
  </si>
  <si>
    <t>AantUNormWk</t>
  </si>
  <si>
    <t>PtPerc</t>
  </si>
  <si>
    <t>periode</t>
  </si>
  <si>
    <t>ingangsdatum</t>
  </si>
  <si>
    <t>einddatum</t>
  </si>
  <si>
    <t>peilloon (ft per jaar)</t>
  </si>
  <si>
    <t>ploegen dienst toeslag</t>
  </si>
  <si>
    <t>uren voor regeling</t>
  </si>
  <si>
    <t>verlofuren voor regeling</t>
  </si>
  <si>
    <t>voortzetting tijdens onbetaald ouderschapsverlof</t>
  </si>
  <si>
    <t>verlof uren onbetaald ouderschapsverlof</t>
  </si>
  <si>
    <t>voortzetting tijdens overig onbetaald verlof</t>
  </si>
  <si>
    <t>verlof uren overig onbetaald verlof</t>
  </si>
  <si>
    <t>normuren per week</t>
  </si>
  <si>
    <t>startdatum</t>
  </si>
  <si>
    <t>gewerkte dagen in periode</t>
  </si>
  <si>
    <t>deel periode</t>
  </si>
  <si>
    <t>deel van jaar berekening</t>
  </si>
  <si>
    <t>normuren periode</t>
  </si>
  <si>
    <t>uren voor regeling, gemaximeerd</t>
  </si>
  <si>
    <t>gegevens correct?</t>
  </si>
  <si>
    <t>deeltijdfactor onbetaald ouderschapsverlof</t>
  </si>
  <si>
    <t>parttime premiegrondslag onbetaald ouderschapsverlof per periode</t>
  </si>
  <si>
    <t>totaal premie basisregeling periode</t>
  </si>
  <si>
    <t>fulltime premiegrondslag excedent</t>
  </si>
  <si>
    <t>premiegrondslag excedent periode</t>
  </si>
  <si>
    <t>premie excedent periode</t>
  </si>
  <si>
    <t>verzekerd bedrag (gekozen)</t>
  </si>
  <si>
    <t>premie volgens tabel</t>
  </si>
  <si>
    <t>premie basisregeling totaal</t>
  </si>
  <si>
    <t>premie ANW-hiaat</t>
  </si>
  <si>
    <t>totaal</t>
  </si>
  <si>
    <t>nee</t>
  </si>
  <si>
    <t>ja</t>
  </si>
  <si>
    <t>4-Wekelijkse kalender</t>
  </si>
  <si>
    <t>Maandelijkse kalender</t>
  </si>
  <si>
    <t>ingang</t>
  </si>
  <si>
    <t>eind</t>
  </si>
  <si>
    <t>franchise</t>
  </si>
  <si>
    <t>max loon</t>
  </si>
  <si>
    <t>max loon exc</t>
  </si>
  <si>
    <t>premiepercentage</t>
  </si>
  <si>
    <t>max bijdrage werknemer basis</t>
  </si>
  <si>
    <t>max bijdrage werknemer excedent</t>
  </si>
  <si>
    <t>gekozen premie excedent (14-32%)</t>
  </si>
  <si>
    <t>Leeftijd</t>
  </si>
  <si>
    <t>Premietarief</t>
  </si>
  <si>
    <t>Koopsomtarief</t>
  </si>
  <si>
    <t>Franchise</t>
  </si>
  <si>
    <t>Normuren</t>
  </si>
  <si>
    <t>Max Loon</t>
  </si>
  <si>
    <t>Uurfranchise</t>
  </si>
  <si>
    <t>Max Uurloon</t>
  </si>
  <si>
    <t>WN bijdrage</t>
  </si>
  <si>
    <t>Premie%</t>
  </si>
  <si>
    <t>Van</t>
  </si>
  <si>
    <t>Tot</t>
  </si>
  <si>
    <t>Uren</t>
  </si>
  <si>
    <t>Cum uren</t>
  </si>
  <si>
    <t>Loon</t>
  </si>
  <si>
    <t>Uurloon</t>
  </si>
  <si>
    <t>Cum Loon</t>
  </si>
  <si>
    <t>PGL</t>
  </si>
  <si>
    <t>Cum PG</t>
  </si>
  <si>
    <t>Cum Premie</t>
  </si>
  <si>
    <t>Premie</t>
  </si>
  <si>
    <t>PGL(var)</t>
  </si>
  <si>
    <t>PGLmax</t>
  </si>
  <si>
    <t>Cum premie</t>
  </si>
  <si>
    <t>Cumulatief loon</t>
  </si>
  <si>
    <t>Gewerkte uren</t>
  </si>
  <si>
    <t>Cumulatief gewerkte uren</t>
  </si>
  <si>
    <t>Cumulatieve normuren</t>
  </si>
  <si>
    <t>PT%</t>
  </si>
  <si>
    <t>Cumulatieve Franchise</t>
  </si>
  <si>
    <t>PG</t>
  </si>
  <si>
    <t>Jaar</t>
  </si>
  <si>
    <t>Max Dagen</t>
  </si>
  <si>
    <t>Dagfranchise</t>
  </si>
  <si>
    <t>Max Dagloon</t>
  </si>
  <si>
    <t>Kalenderdagen</t>
  </si>
  <si>
    <t>Dagen</t>
  </si>
  <si>
    <t>Cum dagen</t>
  </si>
  <si>
    <t>Dagloon</t>
  </si>
  <si>
    <t>Werkbare dagen</t>
  </si>
  <si>
    <t>Dagen360</t>
  </si>
  <si>
    <t>premie excedent-regeling totaal</t>
  </si>
  <si>
    <t>voortzetting tijdens onbetaald ouderschaps-verlof</t>
  </si>
  <si>
    <t>verlof uren onbetaald ouderschaps-verlof</t>
  </si>
  <si>
    <t>deeltijdfactor regeling</t>
  </si>
  <si>
    <t>premie basisregeling</t>
  </si>
  <si>
    <t>premiekorting onbetaald ouderschapsverlof per periode</t>
  </si>
  <si>
    <t>parttime premiegrondslag periode</t>
  </si>
  <si>
    <t>FT jaarbasis ploegendiensttoeslag</t>
  </si>
  <si>
    <t>fulltime premiegrondslag basis</t>
  </si>
  <si>
    <t>Fulltime rekenwaarden</t>
  </si>
  <si>
    <t>FT jaarsalaris incl ploegendiensttoeslag</t>
  </si>
  <si>
    <t>FT franchise</t>
  </si>
  <si>
    <t>FT max loon</t>
  </si>
  <si>
    <t>FT max loon exc</t>
  </si>
  <si>
    <t>premiekorting vzt onbetaald ouderschapsverlof</t>
  </si>
  <si>
    <t>Parttimepercentages</t>
  </si>
  <si>
    <t>Deeltijdfactor regeling</t>
  </si>
  <si>
    <t>Salaris &amp; grenswaarden</t>
  </si>
  <si>
    <t>De ploegendiensttoelsag omgerekend naar een fulltime jaarsalaris.</t>
  </si>
  <si>
    <t>Het opgegeven salaris (peilloon (ft per jaar)) plus het fulltime jaarsalaris voor de ploegendiensttoeslag</t>
  </si>
  <si>
    <t>Jaarlijks fiscaal maximum loon uitgedrukt in een fulltime waarde, bovengrens van de excedent regeling.</t>
  </si>
  <si>
    <t>Jaarlijks franchise uitgedrukt in een fulltime waarde</t>
  </si>
  <si>
    <t>Jaarlijks maximum loon uitgedrukt in een fulltime waarde, bovengrens van de basis regeling en ondergrens van de basisregeling. De ploegendiensttoeslag is volledig onderdeel van de basisregeling, daarom wordt het maximum loon verhoogt met de ploegendiensttoeslag.</t>
  </si>
  <si>
    <t>Het opgegeven regelingloon wordt gemaximeerd op het maximum salaris dat geldt voor de Basisregeling minus de franchise.</t>
  </si>
  <si>
    <t xml:space="preserve">De grondslag per periode rekening houdend met het parttimerpercentage. </t>
  </si>
  <si>
    <t xml:space="preserve">De grondslag per periode rekening houdend met het parttimerpercentage behorende bij de uren voortzetting oudershapsverlof. </t>
  </si>
  <si>
    <t>De premiekorting voor het voortzetten van het ouderschapsverlof per periode</t>
  </si>
  <si>
    <t>De totale premie minus de premiekorting.</t>
  </si>
  <si>
    <t>De premie per periode voor excedent regeling.</t>
  </si>
  <si>
    <t>Het opgegeven regelingloon wordt gemaximeerd op het maximum fiscaal salaris dat geldt voor de Excedentregeling minus de maximum loon.</t>
  </si>
  <si>
    <r>
      <t>premie</t>
    </r>
    <r>
      <rPr>
        <b/>
        <i/>
        <sz val="10"/>
        <color theme="1"/>
        <rFont val="Arial"/>
        <family val="2"/>
      </rPr>
      <t xml:space="preserve">korting </t>
    </r>
    <r>
      <rPr>
        <i/>
        <sz val="10"/>
        <color theme="1"/>
        <rFont val="Arial"/>
        <family val="2"/>
      </rPr>
      <t>onbetaald ouderschapsverlof per periode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</si>
</sst>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quot;€&quot;\ * #,##0.00_ ;_ &quot;€&quot;\ * \-#,##0.00_ ;_ &quot;€&quot;\ * &quot;-&quot;??_ ;_ @_ "/>
    <numFmt numFmtId="43" formatCode="_ * #,##0.00_ ;_ * \-#,##0.00_ ;_ * &quot;-&quot;??_ ;_ @_ "/>
    <numFmt numFmtId="164" formatCode="0.000"/>
    <numFmt numFmtId="165" formatCode="_ * #,##0.0_ ;_ * \-#,##0.0_ ;_ * &quot;-&quot;?_ ;_ @_ "/>
    <numFmt numFmtId="166" formatCode="_ * #,##0.00000_ ;_ * \-#,##0.00000_ ;_ * &quot;-&quot;??_ ;_ @_ "/>
    <numFmt numFmtId="167" formatCode="0.0"/>
    <numFmt numFmtId="168" formatCode="0.00000"/>
    <numFmt numFmtId="169" formatCode="_ * #,##0.00000_ ;_ * \-#,##0.00000_ ;_ * &quot;-&quot;?????_ ;_ @_ "/>
    <numFmt numFmtId="170" formatCode="_ * #,##0.00_ ;_ * \-#,##0.00_ ;_ * &quot;-&quot;?_ ;_ @_ "/>
  </numFmts>
  <fonts count="21"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b/>
      <sz val="11"/>
      <color theme="1"/>
      <name val="Calibri"/>
      <family val="2"/>
      <scheme val="minor"/>
    </font>
    <font>
      <b/>
      <i/>
      <sz val="11"/>
      <color theme="1"/>
      <name val="Calibri"/>
      <family val="2"/>
      <scheme val="minor"/>
    </font>
    <font>
      <sz val="11"/>
      <color rgb="FF3F3F76"/>
      <name val="Calibri"/>
      <family val="2"/>
      <scheme val="minor"/>
    </font>
    <font>
      <b/>
      <sz val="10"/>
      <color theme="1"/>
      <name val="Arial"/>
      <family val="2"/>
    </font>
    <font>
      <i/>
      <sz val="10"/>
      <color theme="1"/>
      <name val="Arial"/>
      <family val="2"/>
    </font>
    <font>
      <b/>
      <sz val="11"/>
      <color rgb="FFFF0000"/>
      <name val="Calibri"/>
      <family val="2"/>
      <scheme val="minor"/>
    </font>
    <font>
      <sz val="11"/>
      <name val="Calibri"/>
      <family val="2"/>
      <scheme val="minor"/>
    </font>
    <font>
      <b/>
      <sz val="11"/>
      <name val="Calibri"/>
      <family val="2"/>
      <scheme val="minor"/>
    </font>
    <font>
      <sz val="10"/>
      <name val="Arial"/>
      <family val="2"/>
    </font>
    <font>
      <sz val="8"/>
      <color theme="1"/>
      <name val="Calibri"/>
      <family val="2"/>
      <scheme val="minor"/>
    </font>
    <font>
      <sz val="11"/>
      <color rgb="FFFF0000"/>
      <name val="Calibri"/>
      <family val="2"/>
      <scheme val="minor"/>
    </font>
    <font>
      <b/>
      <i/>
      <sz val="10"/>
      <color theme="1"/>
      <name val="Arial"/>
      <family val="2"/>
    </font>
  </fonts>
  <fills count="8">
    <fill>
      <patternFill patternType="none"/>
    </fill>
    <fill>
      <patternFill patternType="gray125"/>
    </fill>
    <fill>
      <patternFill patternType="solid">
        <fgColor rgb="FFFFCC99"/>
      </patternFill>
    </fill>
    <fill>
      <patternFill patternType="solid">
        <fgColor theme="7" tint="0.79998168889431442"/>
        <bgColor indexed="64"/>
      </patternFill>
    </fill>
    <fill>
      <patternFill patternType="solid">
        <fgColor theme="0"/>
        <bgColor indexed="64"/>
      </patternFill>
    </fill>
    <fill>
      <patternFill patternType="solid">
        <fgColor rgb="FFFDC1BB"/>
        <bgColor indexed="64"/>
      </patternFill>
    </fill>
    <fill>
      <patternFill patternType="solid">
        <fgColor rgb="FFFF9999"/>
        <bgColor indexed="64"/>
      </patternFill>
    </fill>
    <fill>
      <patternFill patternType="solid">
        <fgColor theme="0" tint="-4.9989318521683403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thick">
        <color rgb="FFFF0000"/>
      </bottom>
      <diagonal/>
    </border>
    <border>
      <left/>
      <right style="thin">
        <color indexed="64"/>
      </right>
      <top/>
      <bottom style="thick">
        <color rgb="FFFF0000"/>
      </bottom>
      <diagonal/>
    </border>
    <border>
      <left style="thin">
        <color indexed="64"/>
      </left>
      <right style="thin">
        <color indexed="64"/>
      </right>
      <top/>
      <bottom style="thick">
        <color rgb="FFFF0000"/>
      </bottom>
      <diagonal/>
    </border>
    <border>
      <left/>
      <right style="thin">
        <color indexed="64"/>
      </right>
      <top style="thick">
        <color rgb="FFFF0000"/>
      </top>
      <bottom/>
      <diagonal/>
    </border>
    <border>
      <left style="thin">
        <color indexed="64"/>
      </left>
      <right/>
      <top/>
      <bottom style="thick">
        <color rgb="FFFF0000"/>
      </bottom>
      <diagonal/>
    </border>
    <border>
      <left/>
      <right/>
      <top style="thick">
        <color rgb="FFFF0000"/>
      </top>
      <bottom/>
      <diagonal/>
    </border>
    <border>
      <left style="thin">
        <color indexed="64"/>
      </left>
      <right/>
      <top style="thick">
        <color rgb="FFFF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medium">
        <color indexed="64"/>
      </bottom>
      <diagonal/>
    </border>
  </borders>
  <cellStyleXfs count="6">
    <xf numFmtId="0" fontId="0" fillId="0" borderId="0"/>
    <xf numFmtId="44" fontId="8" fillId="0" borderId="0" applyFont="0" applyFill="0" applyBorder="0" applyAlignment="0" applyProtection="0"/>
    <xf numFmtId="9" fontId="8" fillId="0" borderId="0" applyFont="0" applyFill="0" applyBorder="0" applyAlignment="0" applyProtection="0"/>
    <xf numFmtId="0" fontId="11" fillId="2" borderId="2" applyNumberFormat="0" applyAlignment="0" applyProtection="0"/>
    <xf numFmtId="0" fontId="7" fillId="0" borderId="0"/>
    <xf numFmtId="43" fontId="8" fillId="0" borderId="0" applyFont="0" applyFill="0" applyBorder="0" applyAlignment="0" applyProtection="0"/>
  </cellStyleXfs>
  <cellXfs count="225">
    <xf numFmtId="0" fontId="0" fillId="0" borderId="0" xfId="0"/>
    <xf numFmtId="44" fontId="0" fillId="0" borderId="0" xfId="1" applyFont="1"/>
    <xf numFmtId="14" fontId="0" fillId="0" borderId="0" xfId="0" applyNumberFormat="1"/>
    <xf numFmtId="0" fontId="0" fillId="0" borderId="1" xfId="0" applyBorder="1"/>
    <xf numFmtId="44" fontId="0" fillId="0" borderId="1" xfId="1" applyFont="1" applyBorder="1"/>
    <xf numFmtId="10" fontId="0" fillId="0" borderId="1" xfId="0" applyNumberFormat="1" applyBorder="1"/>
    <xf numFmtId="10" fontId="0" fillId="0" borderId="0" xfId="0" applyNumberFormat="1"/>
    <xf numFmtId="14" fontId="0" fillId="0" borderId="1" xfId="0" applyNumberFormat="1" applyBorder="1"/>
    <xf numFmtId="9" fontId="0" fillId="0" borderId="1" xfId="0" applyNumberFormat="1" applyBorder="1"/>
    <xf numFmtId="0" fontId="0" fillId="0" borderId="1" xfId="0" applyBorder="1" applyAlignment="1">
      <alignment horizontal="right"/>
    </xf>
    <xf numFmtId="0" fontId="0" fillId="0" borderId="1" xfId="1" applyNumberFormat="1" applyFont="1" applyBorder="1"/>
    <xf numFmtId="9" fontId="0" fillId="0" borderId="0" xfId="0" applyNumberFormat="1"/>
    <xf numFmtId="0" fontId="10" fillId="0" borderId="0" xfId="0" applyFont="1"/>
    <xf numFmtId="10" fontId="0" fillId="0" borderId="0" xfId="2" applyNumberFormat="1" applyFont="1"/>
    <xf numFmtId="44" fontId="0" fillId="0" borderId="0" xfId="0" applyNumberFormat="1"/>
    <xf numFmtId="44" fontId="0" fillId="0" borderId="0" xfId="1" applyFont="1" applyBorder="1"/>
    <xf numFmtId="0" fontId="0" fillId="0" borderId="0" xfId="0" applyAlignment="1">
      <alignment wrapText="1"/>
    </xf>
    <xf numFmtId="0" fontId="15" fillId="4" borderId="0" xfId="0" applyFont="1" applyFill="1"/>
    <xf numFmtId="0" fontId="15" fillId="4" borderId="10" xfId="0" applyFont="1" applyFill="1" applyBorder="1"/>
    <xf numFmtId="0" fontId="15" fillId="4" borderId="7" xfId="0" applyFont="1" applyFill="1" applyBorder="1"/>
    <xf numFmtId="0" fontId="15" fillId="4" borderId="8" xfId="0" applyFont="1" applyFill="1" applyBorder="1"/>
    <xf numFmtId="14" fontId="15" fillId="4" borderId="7" xfId="0" applyNumberFormat="1" applyFont="1" applyFill="1" applyBorder="1"/>
    <xf numFmtId="14" fontId="15" fillId="4" borderId="9" xfId="0" applyNumberFormat="1" applyFont="1" applyFill="1" applyBorder="1"/>
    <xf numFmtId="14" fontId="15" fillId="4" borderId="10" xfId="0" applyNumberFormat="1" applyFont="1" applyFill="1" applyBorder="1"/>
    <xf numFmtId="14" fontId="15" fillId="4" borderId="4" xfId="0" applyNumberFormat="1" applyFont="1" applyFill="1" applyBorder="1"/>
    <xf numFmtId="14" fontId="15" fillId="4" borderId="0" xfId="0" applyNumberFormat="1" applyFont="1" applyFill="1"/>
    <xf numFmtId="0" fontId="15" fillId="4" borderId="11" xfId="0" applyFont="1" applyFill="1" applyBorder="1"/>
    <xf numFmtId="0" fontId="15" fillId="4" borderId="3" xfId="0" applyFont="1" applyFill="1" applyBorder="1"/>
    <xf numFmtId="14" fontId="15" fillId="4" borderId="11" xfId="0" applyNumberFormat="1" applyFont="1" applyFill="1" applyBorder="1"/>
    <xf numFmtId="14" fontId="15" fillId="4" borderId="6" xfId="0" applyNumberFormat="1" applyFont="1" applyFill="1" applyBorder="1"/>
    <xf numFmtId="0" fontId="16" fillId="4" borderId="0" xfId="0" applyFont="1" applyFill="1"/>
    <xf numFmtId="0" fontId="12" fillId="5" borderId="1" xfId="4" applyFont="1" applyFill="1" applyBorder="1"/>
    <xf numFmtId="0" fontId="12" fillId="5" borderId="1" xfId="4" quotePrefix="1" applyFont="1" applyFill="1" applyBorder="1"/>
    <xf numFmtId="0" fontId="6" fillId="4" borderId="0" xfId="4" applyFont="1" applyFill="1"/>
    <xf numFmtId="0" fontId="0" fillId="4" borderId="0" xfId="0" applyFill="1"/>
    <xf numFmtId="0" fontId="0" fillId="4" borderId="0" xfId="0" quotePrefix="1" applyFill="1"/>
    <xf numFmtId="0" fontId="0" fillId="4" borderId="0" xfId="0" quotePrefix="1" applyFill="1" applyAlignment="1">
      <alignment horizontal="right"/>
    </xf>
    <xf numFmtId="0" fontId="0" fillId="4" borderId="17" xfId="0" applyFill="1" applyBorder="1"/>
    <xf numFmtId="0" fontId="6" fillId="4" borderId="0" xfId="0" applyFont="1" applyFill="1"/>
    <xf numFmtId="0" fontId="6" fillId="4" borderId="17" xfId="0" applyFont="1" applyFill="1" applyBorder="1"/>
    <xf numFmtId="0" fontId="9" fillId="4" borderId="0" xfId="0" applyFont="1" applyFill="1"/>
    <xf numFmtId="0" fontId="9" fillId="6" borderId="3" xfId="0" applyFont="1" applyFill="1" applyBorder="1"/>
    <xf numFmtId="0" fontId="14" fillId="4" borderId="0" xfId="0" applyFont="1" applyFill="1"/>
    <xf numFmtId="0" fontId="0" fillId="4" borderId="20" xfId="0" applyFill="1" applyBorder="1"/>
    <xf numFmtId="0" fontId="0" fillId="4" borderId="4" xfId="0" applyFill="1" applyBorder="1"/>
    <xf numFmtId="0" fontId="0" fillId="4" borderId="18" xfId="0" applyFill="1" applyBorder="1"/>
    <xf numFmtId="1" fontId="17" fillId="4" borderId="15" xfId="4" applyNumberFormat="1" applyFont="1" applyFill="1" applyBorder="1"/>
    <xf numFmtId="1" fontId="17" fillId="4" borderId="14" xfId="4" applyNumberFormat="1" applyFont="1" applyFill="1" applyBorder="1"/>
    <xf numFmtId="0" fontId="0" fillId="3" borderId="1" xfId="0" applyFill="1" applyBorder="1"/>
    <xf numFmtId="0" fontId="0" fillId="4" borderId="0" xfId="0" quotePrefix="1" applyFill="1" applyAlignment="1">
      <alignment horizontal="center"/>
    </xf>
    <xf numFmtId="0" fontId="0" fillId="7" borderId="0" xfId="0" applyFill="1"/>
    <xf numFmtId="0" fontId="15" fillId="3" borderId="1" xfId="3" applyFont="1" applyFill="1" applyBorder="1" applyProtection="1">
      <protection locked="0"/>
    </xf>
    <xf numFmtId="14" fontId="15" fillId="3" borderId="1" xfId="3" applyNumberFormat="1" applyFont="1" applyFill="1" applyBorder="1" applyProtection="1">
      <protection locked="0"/>
    </xf>
    <xf numFmtId="10" fontId="17" fillId="4" borderId="0" xfId="2" applyNumberFormat="1" applyFont="1" applyFill="1" applyBorder="1"/>
    <xf numFmtId="10" fontId="17" fillId="4" borderId="3" xfId="2" applyNumberFormat="1" applyFont="1" applyFill="1" applyBorder="1"/>
    <xf numFmtId="0" fontId="13" fillId="5" borderId="16" xfId="4" applyFont="1" applyFill="1" applyBorder="1" applyAlignment="1">
      <alignment wrapText="1"/>
    </xf>
    <xf numFmtId="0" fontId="13" fillId="5" borderId="13" xfId="4" applyFont="1" applyFill="1" applyBorder="1" applyAlignment="1">
      <alignment wrapText="1"/>
    </xf>
    <xf numFmtId="0" fontId="13" fillId="5" borderId="1" xfId="4" applyFont="1" applyFill="1" applyBorder="1" applyAlignment="1">
      <alignment wrapText="1"/>
    </xf>
    <xf numFmtId="44" fontId="17" fillId="4" borderId="10" xfId="1" applyFont="1" applyFill="1" applyBorder="1"/>
    <xf numFmtId="44" fontId="17" fillId="4" borderId="0" xfId="1" applyFont="1" applyFill="1" applyBorder="1"/>
    <xf numFmtId="44" fontId="17" fillId="4" borderId="11" xfId="1" applyFont="1" applyFill="1" applyBorder="1"/>
    <xf numFmtId="44" fontId="17" fillId="4" borderId="3" xfId="1" applyFont="1" applyFill="1" applyBorder="1"/>
    <xf numFmtId="0" fontId="13" fillId="5" borderId="12" xfId="4" applyFont="1" applyFill="1" applyBorder="1" applyAlignment="1">
      <alignment wrapText="1"/>
    </xf>
    <xf numFmtId="0" fontId="6" fillId="4" borderId="3" xfId="4" applyFont="1" applyFill="1" applyBorder="1"/>
    <xf numFmtId="0" fontId="13" fillId="5" borderId="16" xfId="4" applyFont="1" applyFill="1" applyBorder="1" applyAlignment="1">
      <alignment horizontal="right" wrapText="1"/>
    </xf>
    <xf numFmtId="0" fontId="18" fillId="4" borderId="0" xfId="0" applyFont="1" applyFill="1"/>
    <xf numFmtId="165" fontId="5" fillId="3" borderId="0" xfId="4" applyNumberFormat="1" applyFont="1" applyFill="1" applyProtection="1">
      <protection locked="0"/>
    </xf>
    <xf numFmtId="168" fontId="17" fillId="4" borderId="0" xfId="5" applyNumberFormat="1" applyFont="1" applyFill="1"/>
    <xf numFmtId="0" fontId="15" fillId="4" borderId="0" xfId="0" applyFont="1" applyFill="1" applyAlignment="1">
      <alignment wrapText="1"/>
    </xf>
    <xf numFmtId="0" fontId="15" fillId="5" borderId="12" xfId="0" applyFont="1" applyFill="1" applyBorder="1" applyAlignment="1">
      <alignment wrapText="1"/>
    </xf>
    <xf numFmtId="0" fontId="15" fillId="5" borderId="13" xfId="0" applyFont="1" applyFill="1" applyBorder="1" applyAlignment="1">
      <alignment wrapText="1"/>
    </xf>
    <xf numFmtId="0" fontId="17" fillId="4" borderId="0" xfId="4" applyFont="1" applyFill="1" applyAlignment="1">
      <alignment wrapText="1"/>
    </xf>
    <xf numFmtId="0" fontId="17" fillId="5" borderId="12" xfId="4" applyFont="1" applyFill="1" applyBorder="1" applyAlignment="1">
      <alignment wrapText="1"/>
    </xf>
    <xf numFmtId="0" fontId="17" fillId="5" borderId="16" xfId="4" applyFont="1" applyFill="1" applyBorder="1" applyAlignment="1">
      <alignment wrapText="1"/>
    </xf>
    <xf numFmtId="0" fontId="17" fillId="5" borderId="13" xfId="4" applyFont="1" applyFill="1" applyBorder="1" applyAlignment="1">
      <alignment wrapText="1"/>
    </xf>
    <xf numFmtId="10" fontId="17" fillId="4" borderId="4" xfId="2" applyNumberFormat="1" applyFont="1" applyFill="1" applyBorder="1"/>
    <xf numFmtId="10" fontId="17" fillId="4" borderId="6" xfId="2" applyNumberFormat="1" applyFont="1" applyFill="1" applyBorder="1"/>
    <xf numFmtId="164" fontId="17" fillId="4" borderId="10" xfId="1" applyNumberFormat="1" applyFont="1" applyFill="1" applyBorder="1"/>
    <xf numFmtId="164" fontId="17" fillId="4" borderId="0" xfId="1" applyNumberFormat="1" applyFont="1" applyFill="1" applyBorder="1"/>
    <xf numFmtId="1" fontId="17" fillId="4" borderId="9" xfId="4" applyNumberFormat="1" applyFont="1" applyFill="1" applyBorder="1"/>
    <xf numFmtId="1" fontId="17" fillId="4" borderId="4" xfId="4" applyNumberFormat="1" applyFont="1" applyFill="1" applyBorder="1"/>
    <xf numFmtId="1" fontId="15" fillId="3" borderId="1" xfId="3" applyNumberFormat="1" applyFont="1" applyFill="1" applyBorder="1" applyProtection="1">
      <protection locked="0"/>
    </xf>
    <xf numFmtId="0" fontId="6" fillId="4" borderId="8" xfId="4" applyFont="1" applyFill="1" applyBorder="1"/>
    <xf numFmtId="169" fontId="0" fillId="4" borderId="0" xfId="0" applyNumberFormat="1" applyFill="1"/>
    <xf numFmtId="0" fontId="9" fillId="6" borderId="3" xfId="0" applyFont="1" applyFill="1" applyBorder="1" applyAlignment="1">
      <alignment horizontal="left" vertical="top"/>
    </xf>
    <xf numFmtId="0" fontId="5" fillId="5" borderId="10" xfId="4" applyFont="1" applyFill="1" applyBorder="1" applyAlignment="1">
      <alignment vertical="top"/>
    </xf>
    <xf numFmtId="0" fontId="5" fillId="5" borderId="10" xfId="4" quotePrefix="1" applyFont="1" applyFill="1" applyBorder="1" applyAlignment="1">
      <alignment vertical="top"/>
    </xf>
    <xf numFmtId="0" fontId="5" fillId="5" borderId="0" xfId="4" applyFont="1" applyFill="1" applyAlignment="1">
      <alignment horizontal="left" vertical="top"/>
    </xf>
    <xf numFmtId="0" fontId="5" fillId="5" borderId="10" xfId="4" applyFont="1" applyFill="1" applyBorder="1" applyAlignment="1">
      <alignment horizontal="left" vertical="top"/>
    </xf>
    <xf numFmtId="0" fontId="5" fillId="5" borderId="3" xfId="4" applyFont="1" applyFill="1" applyBorder="1" applyAlignment="1">
      <alignment horizontal="left" vertical="top"/>
    </xf>
    <xf numFmtId="0" fontId="0" fillId="4" borderId="0" xfId="0" applyFill="1" applyAlignment="1">
      <alignment horizontal="left" vertical="top"/>
    </xf>
    <xf numFmtId="0" fontId="0" fillId="4" borderId="0" xfId="0" applyFill="1" applyAlignment="1">
      <alignment wrapText="1"/>
    </xf>
    <xf numFmtId="0" fontId="9" fillId="6" borderId="3" xfId="0" applyFont="1" applyFill="1" applyBorder="1" applyAlignment="1">
      <alignment wrapText="1"/>
    </xf>
    <xf numFmtId="0" fontId="0" fillId="4" borderId="0" xfId="0" quotePrefix="1" applyFill="1" applyAlignment="1">
      <alignment wrapText="1"/>
    </xf>
    <xf numFmtId="0" fontId="0" fillId="4" borderId="3" xfId="0" applyFill="1" applyBorder="1" applyAlignment="1">
      <alignment wrapText="1"/>
    </xf>
    <xf numFmtId="0" fontId="19" fillId="4" borderId="0" xfId="0" applyFont="1" applyFill="1"/>
    <xf numFmtId="0" fontId="15" fillId="4" borderId="1" xfId="3" applyFont="1" applyFill="1" applyBorder="1" applyProtection="1">
      <protection locked="0"/>
    </xf>
    <xf numFmtId="0" fontId="5" fillId="4" borderId="0" xfId="4" applyFont="1" applyFill="1"/>
    <xf numFmtId="14" fontId="5" fillId="4" borderId="0" xfId="4" applyNumberFormat="1" applyFont="1" applyFill="1"/>
    <xf numFmtId="14" fontId="5" fillId="4" borderId="4" xfId="4" applyNumberFormat="1" applyFont="1" applyFill="1" applyBorder="1"/>
    <xf numFmtId="44" fontId="5" fillId="3" borderId="0" xfId="1" applyFont="1" applyFill="1" applyProtection="1">
      <protection locked="0"/>
    </xf>
    <xf numFmtId="167" fontId="5" fillId="3" borderId="4" xfId="4" applyNumberFormat="1" applyFont="1" applyFill="1" applyBorder="1" applyProtection="1">
      <protection locked="0"/>
    </xf>
    <xf numFmtId="166" fontId="5" fillId="4" borderId="0" xfId="4" applyNumberFormat="1" applyFont="1" applyFill="1"/>
    <xf numFmtId="166" fontId="5" fillId="4" borderId="0" xfId="5" applyNumberFormat="1" applyFont="1" applyFill="1"/>
    <xf numFmtId="2" fontId="5" fillId="4" borderId="0" xfId="5" applyNumberFormat="1" applyFont="1" applyFill="1" applyBorder="1"/>
    <xf numFmtId="43" fontId="5" fillId="4" borderId="4" xfId="5" applyFont="1" applyFill="1" applyBorder="1"/>
    <xf numFmtId="0" fontId="5" fillId="4" borderId="5" xfId="4" applyFont="1" applyFill="1" applyBorder="1"/>
    <xf numFmtId="168" fontId="5" fillId="4" borderId="0" xfId="5" applyNumberFormat="1" applyFont="1" applyFill="1"/>
    <xf numFmtId="44" fontId="5" fillId="4" borderId="10" xfId="1" applyFont="1" applyFill="1" applyBorder="1"/>
    <xf numFmtId="44" fontId="5" fillId="4" borderId="0" xfId="4" applyNumberFormat="1" applyFont="1" applyFill="1"/>
    <xf numFmtId="44" fontId="5" fillId="4" borderId="10" xfId="4" applyNumberFormat="1" applyFont="1" applyFill="1" applyBorder="1"/>
    <xf numFmtId="44" fontId="5" fillId="4" borderId="7" xfId="4" applyNumberFormat="1" applyFont="1" applyFill="1" applyBorder="1"/>
    <xf numFmtId="44" fontId="5" fillId="4" borderId="8" xfId="4" applyNumberFormat="1" applyFont="1" applyFill="1" applyBorder="1"/>
    <xf numFmtId="0" fontId="5" fillId="4" borderId="8" xfId="4" applyFont="1" applyFill="1" applyBorder="1"/>
    <xf numFmtId="14" fontId="5" fillId="4" borderId="8" xfId="4" applyNumberFormat="1" applyFont="1" applyFill="1" applyBorder="1"/>
    <xf numFmtId="14" fontId="5" fillId="4" borderId="9" xfId="4" applyNumberFormat="1" applyFont="1" applyFill="1" applyBorder="1"/>
    <xf numFmtId="44" fontId="5" fillId="3" borderId="8" xfId="1" applyFont="1" applyFill="1" applyBorder="1" applyProtection="1">
      <protection locked="0"/>
    </xf>
    <xf numFmtId="165" fontId="5" fillId="3" borderId="8" xfId="4" applyNumberFormat="1" applyFont="1" applyFill="1" applyBorder="1" applyProtection="1">
      <protection locked="0"/>
    </xf>
    <xf numFmtId="167" fontId="5" fillId="3" borderId="9" xfId="4" applyNumberFormat="1" applyFont="1" applyFill="1" applyBorder="1" applyProtection="1">
      <protection locked="0"/>
    </xf>
    <xf numFmtId="166" fontId="5" fillId="4" borderId="8" xfId="4" applyNumberFormat="1" applyFont="1" applyFill="1" applyBorder="1"/>
    <xf numFmtId="166" fontId="5" fillId="4" borderId="8" xfId="5" applyNumberFormat="1" applyFont="1" applyFill="1" applyBorder="1"/>
    <xf numFmtId="2" fontId="5" fillId="4" borderId="8" xfId="5" applyNumberFormat="1" applyFont="1" applyFill="1" applyBorder="1"/>
    <xf numFmtId="43" fontId="5" fillId="4" borderId="9" xfId="5" applyFont="1" applyFill="1" applyBorder="1"/>
    <xf numFmtId="0" fontId="5" fillId="4" borderId="15" xfId="4" applyFont="1" applyFill="1" applyBorder="1"/>
    <xf numFmtId="168" fontId="5" fillId="4" borderId="8" xfId="5" applyNumberFormat="1" applyFont="1" applyFill="1" applyBorder="1"/>
    <xf numFmtId="44" fontId="5" fillId="4" borderId="7" xfId="1" applyFont="1" applyFill="1" applyBorder="1"/>
    <xf numFmtId="44" fontId="5" fillId="4" borderId="9" xfId="4" applyNumberFormat="1" applyFont="1" applyFill="1" applyBorder="1"/>
    <xf numFmtId="166" fontId="5" fillId="4" borderId="0" xfId="0" applyNumberFormat="1" applyFont="1" applyFill="1"/>
    <xf numFmtId="0" fontId="5" fillId="4" borderId="17" xfId="4" applyFont="1" applyFill="1" applyBorder="1"/>
    <xf numFmtId="14" fontId="5" fillId="4" borderId="17" xfId="4" applyNumberFormat="1" applyFont="1" applyFill="1" applyBorder="1"/>
    <xf numFmtId="14" fontId="5" fillId="4" borderId="18" xfId="4" applyNumberFormat="1" applyFont="1" applyFill="1" applyBorder="1"/>
    <xf numFmtId="44" fontId="5" fillId="3" borderId="17" xfId="1" applyFont="1" applyFill="1" applyBorder="1" applyProtection="1">
      <protection locked="0"/>
    </xf>
    <xf numFmtId="165" fontId="5" fillId="3" borderId="17" xfId="4" applyNumberFormat="1" applyFont="1" applyFill="1" applyBorder="1" applyProtection="1">
      <protection locked="0"/>
    </xf>
    <xf numFmtId="167" fontId="5" fillId="3" borderId="18" xfId="4" applyNumberFormat="1" applyFont="1" applyFill="1" applyBorder="1" applyProtection="1">
      <protection locked="0"/>
    </xf>
    <xf numFmtId="166" fontId="5" fillId="4" borderId="17" xfId="0" applyNumberFormat="1" applyFont="1" applyFill="1" applyBorder="1"/>
    <xf numFmtId="166" fontId="5" fillId="4" borderId="17" xfId="5" applyNumberFormat="1" applyFont="1" applyFill="1" applyBorder="1"/>
    <xf numFmtId="2" fontId="5" fillId="4" borderId="17" xfId="5" applyNumberFormat="1" applyFont="1" applyFill="1" applyBorder="1"/>
    <xf numFmtId="43" fontId="5" fillId="4" borderId="18" xfId="5" applyFont="1" applyFill="1" applyBorder="1"/>
    <xf numFmtId="0" fontId="5" fillId="4" borderId="19" xfId="4" applyFont="1" applyFill="1" applyBorder="1"/>
    <xf numFmtId="168" fontId="5" fillId="4" borderId="17" xfId="5" applyNumberFormat="1" applyFont="1" applyFill="1" applyBorder="1"/>
    <xf numFmtId="44" fontId="5" fillId="4" borderId="21" xfId="1" applyFont="1" applyFill="1" applyBorder="1"/>
    <xf numFmtId="44" fontId="5" fillId="4" borderId="17" xfId="4" applyNumberFormat="1" applyFont="1" applyFill="1" applyBorder="1"/>
    <xf numFmtId="44" fontId="5" fillId="4" borderId="21" xfId="4" applyNumberFormat="1" applyFont="1" applyFill="1" applyBorder="1"/>
    <xf numFmtId="43" fontId="5" fillId="4" borderId="0" xfId="5" applyFont="1" applyFill="1" applyBorder="1"/>
    <xf numFmtId="0" fontId="5" fillId="4" borderId="3" xfId="4" applyFont="1" applyFill="1" applyBorder="1"/>
    <xf numFmtId="14" fontId="5" fillId="4" borderId="3" xfId="4" applyNumberFormat="1" applyFont="1" applyFill="1" applyBorder="1"/>
    <xf numFmtId="14" fontId="5" fillId="4" borderId="6" xfId="4" applyNumberFormat="1" applyFont="1" applyFill="1" applyBorder="1"/>
    <xf numFmtId="44" fontId="5" fillId="3" borderId="3" xfId="1" applyFont="1" applyFill="1" applyBorder="1" applyProtection="1">
      <protection locked="0"/>
    </xf>
    <xf numFmtId="165" fontId="5" fillId="3" borderId="3" xfId="4" applyNumberFormat="1" applyFont="1" applyFill="1" applyBorder="1" applyProtection="1">
      <protection locked="0"/>
    </xf>
    <xf numFmtId="167" fontId="5" fillId="3" borderId="6" xfId="4" applyNumberFormat="1" applyFont="1" applyFill="1" applyBorder="1" applyProtection="1">
      <protection locked="0"/>
    </xf>
    <xf numFmtId="166" fontId="5" fillId="4" borderId="3" xfId="4" applyNumberFormat="1" applyFont="1" applyFill="1" applyBorder="1"/>
    <xf numFmtId="166" fontId="5" fillId="4" borderId="3" xfId="5" applyNumberFormat="1" applyFont="1" applyFill="1" applyBorder="1"/>
    <xf numFmtId="43" fontId="5" fillId="4" borderId="3" xfId="5" applyFont="1" applyFill="1" applyBorder="1"/>
    <xf numFmtId="43" fontId="5" fillId="4" borderId="6" xfId="5" applyFont="1" applyFill="1" applyBorder="1"/>
    <xf numFmtId="0" fontId="5" fillId="4" borderId="14" xfId="4" applyFont="1" applyFill="1" applyBorder="1"/>
    <xf numFmtId="168" fontId="5" fillId="4" borderId="3" xfId="5" applyNumberFormat="1" applyFont="1" applyFill="1" applyBorder="1"/>
    <xf numFmtId="44" fontId="5" fillId="4" borderId="3" xfId="4" applyNumberFormat="1" applyFont="1" applyFill="1" applyBorder="1"/>
    <xf numFmtId="44" fontId="5" fillId="4" borderId="11" xfId="4" applyNumberFormat="1" applyFont="1" applyFill="1" applyBorder="1"/>
    <xf numFmtId="14" fontId="5" fillId="4" borderId="0" xfId="0" applyNumberFormat="1" applyFont="1" applyFill="1"/>
    <xf numFmtId="0" fontId="5" fillId="4" borderId="17" xfId="0" applyFont="1" applyFill="1" applyBorder="1"/>
    <xf numFmtId="167" fontId="5" fillId="3" borderId="18" xfId="0" applyNumberFormat="1" applyFont="1" applyFill="1" applyBorder="1" applyProtection="1">
      <protection locked="0"/>
    </xf>
    <xf numFmtId="14" fontId="5" fillId="4" borderId="21" xfId="4" applyNumberFormat="1" applyFont="1" applyFill="1" applyBorder="1"/>
    <xf numFmtId="43" fontId="5" fillId="4" borderId="17" xfId="5" applyFont="1" applyFill="1" applyBorder="1"/>
    <xf numFmtId="0" fontId="5" fillId="4" borderId="19" xfId="0" applyFont="1" applyFill="1" applyBorder="1"/>
    <xf numFmtId="168" fontId="5" fillId="4" borderId="4" xfId="5" applyNumberFormat="1" applyFont="1" applyFill="1" applyBorder="1"/>
    <xf numFmtId="168" fontId="17" fillId="4" borderId="4" xfId="5" applyNumberFormat="1" applyFont="1" applyFill="1" applyBorder="1"/>
    <xf numFmtId="168" fontId="5" fillId="4" borderId="9" xfId="5" applyNumberFormat="1" applyFont="1" applyFill="1" applyBorder="1"/>
    <xf numFmtId="168" fontId="5" fillId="4" borderId="18" xfId="5" applyNumberFormat="1" applyFont="1" applyFill="1" applyBorder="1"/>
    <xf numFmtId="44" fontId="5" fillId="4" borderId="4" xfId="4" applyNumberFormat="1" applyFont="1" applyFill="1" applyBorder="1"/>
    <xf numFmtId="44" fontId="5" fillId="4" borderId="18" xfId="4" applyNumberFormat="1" applyFont="1" applyFill="1" applyBorder="1"/>
    <xf numFmtId="44" fontId="5" fillId="4" borderId="0" xfId="1" applyFont="1" applyFill="1" applyBorder="1"/>
    <xf numFmtId="44" fontId="5" fillId="4" borderId="8" xfId="1" applyFont="1" applyFill="1" applyBorder="1"/>
    <xf numFmtId="44" fontId="5" fillId="4" borderId="17" xfId="1" applyFont="1" applyFill="1" applyBorder="1"/>
    <xf numFmtId="44" fontId="5" fillId="4" borderId="5" xfId="4" applyNumberFormat="1" applyFont="1" applyFill="1" applyBorder="1"/>
    <xf numFmtId="44" fontId="5" fillId="4" borderId="15" xfId="4" applyNumberFormat="1" applyFont="1" applyFill="1" applyBorder="1"/>
    <xf numFmtId="44" fontId="5" fillId="4" borderId="19" xfId="4" applyNumberFormat="1" applyFont="1" applyFill="1" applyBorder="1"/>
    <xf numFmtId="0" fontId="18" fillId="4" borderId="3" xfId="0" applyFont="1" applyFill="1" applyBorder="1"/>
    <xf numFmtId="0" fontId="0" fillId="4" borderId="22" xfId="0" applyFill="1" applyBorder="1"/>
    <xf numFmtId="0" fontId="18" fillId="4" borderId="6" xfId="0" applyFont="1" applyFill="1" applyBorder="1"/>
    <xf numFmtId="0" fontId="9" fillId="4" borderId="23" xfId="0" applyFont="1" applyFill="1" applyBorder="1"/>
    <xf numFmtId="165" fontId="4" fillId="3" borderId="0" xfId="4" applyNumberFormat="1" applyFont="1" applyFill="1" applyProtection="1">
      <protection locked="0"/>
    </xf>
    <xf numFmtId="165" fontId="3" fillId="3" borderId="0" xfId="4" applyNumberFormat="1" applyFont="1" applyFill="1" applyProtection="1">
      <protection locked="0"/>
    </xf>
    <xf numFmtId="165" fontId="19" fillId="4" borderId="0" xfId="0" applyNumberFormat="1" applyFont="1" applyFill="1"/>
    <xf numFmtId="168" fontId="5" fillId="4" borderId="6" xfId="5" applyNumberFormat="1" applyFont="1" applyFill="1" applyBorder="1"/>
    <xf numFmtId="44" fontId="5" fillId="4" borderId="0" xfId="1" applyFont="1" applyFill="1"/>
    <xf numFmtId="44" fontId="17" fillId="4" borderId="0" xfId="1" applyFont="1" applyFill="1"/>
    <xf numFmtId="44" fontId="5" fillId="4" borderId="3" xfId="1" applyFont="1" applyFill="1" applyBorder="1"/>
    <xf numFmtId="44" fontId="5" fillId="4" borderId="3" xfId="1" applyFont="1" applyFill="1" applyBorder="1" applyAlignment="1">
      <alignment horizontal="center"/>
    </xf>
    <xf numFmtId="44" fontId="5" fillId="4" borderId="9" xfId="1" applyFont="1" applyFill="1" applyBorder="1"/>
    <xf numFmtId="44" fontId="5" fillId="4" borderId="5" xfId="1" applyFont="1" applyFill="1" applyBorder="1"/>
    <xf numFmtId="44" fontId="5" fillId="4" borderId="14" xfId="1" applyFont="1" applyFill="1" applyBorder="1"/>
    <xf numFmtId="44" fontId="5" fillId="4" borderId="19" xfId="1" applyFont="1" applyFill="1" applyBorder="1"/>
    <xf numFmtId="44" fontId="5" fillId="4" borderId="6" xfId="4" applyNumberFormat="1" applyFont="1" applyFill="1" applyBorder="1"/>
    <xf numFmtId="44" fontId="5" fillId="4" borderId="14" xfId="4" applyNumberFormat="1" applyFont="1" applyFill="1" applyBorder="1"/>
    <xf numFmtId="0" fontId="2" fillId="5" borderId="10" xfId="4" applyFont="1" applyFill="1" applyBorder="1" applyAlignment="1">
      <alignment horizontal="left" vertical="top"/>
    </xf>
    <xf numFmtId="0" fontId="0" fillId="0" borderId="1" xfId="0" applyBorder="1" applyAlignment="1">
      <alignment horizontal="center"/>
    </xf>
    <xf numFmtId="0" fontId="0" fillId="0" borderId="0" xfId="0" applyAlignment="1">
      <alignment horizontal="center"/>
    </xf>
    <xf numFmtId="165" fontId="1" fillId="3" borderId="0" xfId="4" applyNumberFormat="1" applyFont="1" applyFill="1" applyProtection="1">
      <protection locked="0"/>
    </xf>
    <xf numFmtId="170" fontId="5" fillId="3" borderId="0" xfId="4" applyNumberFormat="1" applyFont="1" applyFill="1" applyProtection="1">
      <protection locked="0"/>
    </xf>
    <xf numFmtId="170" fontId="5" fillId="3" borderId="8" xfId="4" applyNumberFormat="1" applyFont="1" applyFill="1" applyBorder="1" applyProtection="1">
      <protection locked="0"/>
    </xf>
    <xf numFmtId="44" fontId="5" fillId="4" borderId="0" xfId="4" applyNumberFormat="1" applyFont="1" applyFill="1" applyBorder="1"/>
    <xf numFmtId="0" fontId="9" fillId="4" borderId="24" xfId="0" applyFont="1" applyFill="1" applyBorder="1"/>
    <xf numFmtId="0" fontId="18" fillId="4" borderId="25" xfId="0" applyFont="1" applyFill="1" applyBorder="1"/>
    <xf numFmtId="0" fontId="0" fillId="4" borderId="25" xfId="0" applyFill="1" applyBorder="1"/>
    <xf numFmtId="0" fontId="0" fillId="4" borderId="26" xfId="0" applyFill="1" applyBorder="1"/>
    <xf numFmtId="0" fontId="18" fillId="4" borderId="27" xfId="0" applyFont="1" applyFill="1" applyBorder="1"/>
    <xf numFmtId="0" fontId="18" fillId="4" borderId="0" xfId="0" applyFont="1" applyFill="1" applyBorder="1"/>
    <xf numFmtId="0" fontId="18" fillId="4" borderId="28" xfId="0" applyFont="1" applyFill="1" applyBorder="1"/>
    <xf numFmtId="0" fontId="13" fillId="5" borderId="29" xfId="4" applyFont="1" applyFill="1" applyBorder="1" applyAlignment="1">
      <alignment wrapText="1"/>
    </xf>
    <xf numFmtId="0" fontId="13" fillId="5" borderId="30" xfId="4" applyFont="1" applyFill="1" applyBorder="1" applyAlignment="1">
      <alignment wrapText="1"/>
    </xf>
    <xf numFmtId="44" fontId="5" fillId="4" borderId="27" xfId="4" applyNumberFormat="1" applyFont="1" applyFill="1" applyBorder="1"/>
    <xf numFmtId="44" fontId="5" fillId="4" borderId="31" xfId="4" applyNumberFormat="1" applyFont="1" applyFill="1" applyBorder="1"/>
    <xf numFmtId="44" fontId="5" fillId="4" borderId="32" xfId="4" applyNumberFormat="1" applyFont="1" applyFill="1" applyBorder="1"/>
    <xf numFmtId="44" fontId="5" fillId="4" borderId="33" xfId="4" applyNumberFormat="1" applyFont="1" applyFill="1" applyBorder="1"/>
    <xf numFmtId="44" fontId="5" fillId="4" borderId="34" xfId="4" applyNumberFormat="1" applyFont="1" applyFill="1" applyBorder="1"/>
    <xf numFmtId="44" fontId="5" fillId="4" borderId="35" xfId="4" applyNumberFormat="1" applyFont="1" applyFill="1" applyBorder="1"/>
    <xf numFmtId="44" fontId="5" fillId="4" borderId="36" xfId="4" applyNumberFormat="1" applyFont="1" applyFill="1" applyBorder="1"/>
    <xf numFmtId="44" fontId="5" fillId="4" borderId="37" xfId="4" applyNumberFormat="1" applyFont="1" applyFill="1" applyBorder="1"/>
    <xf numFmtId="44" fontId="5" fillId="4" borderId="38" xfId="4" applyNumberFormat="1" applyFont="1" applyFill="1" applyBorder="1"/>
    <xf numFmtId="0" fontId="5" fillId="4" borderId="0" xfId="4" applyFont="1" applyFill="1" applyBorder="1"/>
    <xf numFmtId="0" fontId="5" fillId="4" borderId="0" xfId="0" applyFont="1" applyFill="1" applyBorder="1"/>
    <xf numFmtId="0" fontId="13" fillId="5" borderId="39" xfId="4" applyFont="1" applyFill="1" applyBorder="1" applyAlignment="1">
      <alignment wrapText="1"/>
    </xf>
    <xf numFmtId="44" fontId="5" fillId="4" borderId="40" xfId="4" applyNumberFormat="1" applyFont="1" applyFill="1" applyBorder="1"/>
    <xf numFmtId="44" fontId="5" fillId="4" borderId="41" xfId="4" applyNumberFormat="1" applyFont="1" applyFill="1" applyBorder="1"/>
    <xf numFmtId="44" fontId="5" fillId="4" borderId="42" xfId="4" applyNumberFormat="1" applyFont="1" applyFill="1" applyBorder="1"/>
  </cellXfs>
  <cellStyles count="6">
    <cellStyle name="Invoer" xfId="3" builtinId="20"/>
    <cellStyle name="Komma" xfId="5" builtinId="3"/>
    <cellStyle name="Procent" xfId="2" builtinId="5"/>
    <cellStyle name="Standaard" xfId="0" builtinId="0"/>
    <cellStyle name="Standaard 2" xfId="4" xr:uid="{00000000-0005-0000-0000-000004000000}"/>
    <cellStyle name="Valuta" xfId="1" builtinId="4"/>
  </cellStyles>
  <dxfs count="0"/>
  <tableStyles count="0" defaultTableStyle="TableStyleMedium2" defaultPivotStyle="PivotStyleLight16"/>
  <colors>
    <mruColors>
      <color rgb="FFFB9489"/>
      <color rgb="FFFF9999"/>
      <color rgb="FFFDC1BB"/>
      <color rgb="FFFCD8D9"/>
      <color rgb="FF3F3F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29</xdr:col>
      <xdr:colOff>391755</xdr:colOff>
      <xdr:row>1</xdr:row>
      <xdr:rowOff>152399</xdr:rowOff>
    </xdr:from>
    <xdr:to>
      <xdr:col>31</xdr:col>
      <xdr:colOff>971248</xdr:colOff>
      <xdr:row>7</xdr:row>
      <xdr:rowOff>155963</xdr:rowOff>
    </xdr:to>
    <xdr:pic>
      <xdr:nvPicPr>
        <xdr:cNvPr id="2" name="Afbeelding 1" descr="Logo">
          <a:extLst>
            <a:ext uri="{FF2B5EF4-FFF2-40B4-BE49-F238E27FC236}">
              <a16:creationId xmlns:a16="http://schemas.microsoft.com/office/drawing/2014/main" id="{B36C5A87-019A-4B58-8D4E-85C21627DB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603930" y="352424"/>
          <a:ext cx="2714997" cy="11560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30</xdr:col>
      <xdr:colOff>391755</xdr:colOff>
      <xdr:row>1</xdr:row>
      <xdr:rowOff>152399</xdr:rowOff>
    </xdr:from>
    <xdr:to>
      <xdr:col>33</xdr:col>
      <xdr:colOff>110611</xdr:colOff>
      <xdr:row>7</xdr:row>
      <xdr:rowOff>155963</xdr:rowOff>
    </xdr:to>
    <xdr:pic>
      <xdr:nvPicPr>
        <xdr:cNvPr id="2" name="Afbeelding 1" descr="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876979" y="340658"/>
          <a:ext cx="2808645" cy="11009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CD8D9"/>
  </sheetPr>
  <dimension ref="A1:D58"/>
  <sheetViews>
    <sheetView topLeftCell="A25" workbookViewId="0">
      <selection activeCell="B48" sqref="B48"/>
    </sheetView>
  </sheetViews>
  <sheetFormatPr defaultColWidth="8.7109375" defaultRowHeight="15" x14ac:dyDescent="0.25"/>
  <cols>
    <col min="1" max="1" width="57" style="90" bestFit="1" customWidth="1"/>
    <col min="2" max="2" width="155.28515625" style="91" bestFit="1" customWidth="1"/>
    <col min="3" max="3" width="5.28515625" style="50" customWidth="1"/>
    <col min="4" max="4" width="147.42578125" style="34" bestFit="1" customWidth="1"/>
    <col min="5" max="16384" width="8.7109375" style="34"/>
  </cols>
  <sheetData>
    <row r="1" spans="1:4" x14ac:dyDescent="0.25">
      <c r="A1" s="84" t="s">
        <v>0</v>
      </c>
      <c r="B1" s="92" t="s">
        <v>1</v>
      </c>
      <c r="D1" s="41" t="s">
        <v>2</v>
      </c>
    </row>
    <row r="2" spans="1:4" x14ac:dyDescent="0.25">
      <c r="A2" s="85" t="s">
        <v>3</v>
      </c>
      <c r="B2" s="91" t="s">
        <v>4</v>
      </c>
    </row>
    <row r="3" spans="1:4" x14ac:dyDescent="0.25">
      <c r="A3" s="86" t="s">
        <v>5</v>
      </c>
      <c r="B3" s="93" t="s">
        <v>6</v>
      </c>
    </row>
    <row r="4" spans="1:4" x14ac:dyDescent="0.25">
      <c r="A4" s="85" t="s">
        <v>7</v>
      </c>
      <c r="B4" s="93" t="s">
        <v>8</v>
      </c>
    </row>
    <row r="5" spans="1:4" x14ac:dyDescent="0.25">
      <c r="A5" s="85" t="s">
        <v>9</v>
      </c>
      <c r="B5" s="91" t="s">
        <v>10</v>
      </c>
    </row>
    <row r="6" spans="1:4" x14ac:dyDescent="0.25">
      <c r="A6" s="85" t="s">
        <v>11</v>
      </c>
      <c r="B6" s="91" t="s">
        <v>12</v>
      </c>
    </row>
    <row r="7" spans="1:4" x14ac:dyDescent="0.25">
      <c r="A7" s="85" t="s">
        <v>13</v>
      </c>
      <c r="B7" s="91" t="s">
        <v>14</v>
      </c>
    </row>
    <row r="8" spans="1:4" x14ac:dyDescent="0.25">
      <c r="A8" s="85" t="s">
        <v>15</v>
      </c>
      <c r="B8" s="91" t="s">
        <v>16</v>
      </c>
    </row>
    <row r="9" spans="1:4" x14ac:dyDescent="0.25">
      <c r="A9" s="85" t="s">
        <v>17</v>
      </c>
      <c r="B9" s="91" t="s">
        <v>18</v>
      </c>
    </row>
    <row r="10" spans="1:4" x14ac:dyDescent="0.25">
      <c r="A10" s="84" t="s">
        <v>19</v>
      </c>
      <c r="B10" s="92"/>
    </row>
    <row r="11" spans="1:4" x14ac:dyDescent="0.25">
      <c r="A11" s="87" t="s">
        <v>20</v>
      </c>
      <c r="B11" s="91" t="s">
        <v>21</v>
      </c>
    </row>
    <row r="12" spans="1:4" x14ac:dyDescent="0.25">
      <c r="A12" s="87" t="s">
        <v>22</v>
      </c>
      <c r="B12" s="91" t="s">
        <v>23</v>
      </c>
    </row>
    <row r="13" spans="1:4" x14ac:dyDescent="0.25">
      <c r="A13" s="87" t="s">
        <v>24</v>
      </c>
      <c r="B13" s="91" t="s">
        <v>25</v>
      </c>
    </row>
    <row r="14" spans="1:4" x14ac:dyDescent="0.25">
      <c r="A14" s="87" t="s">
        <v>26</v>
      </c>
      <c r="B14" s="91" t="s">
        <v>27</v>
      </c>
    </row>
    <row r="15" spans="1:4" x14ac:dyDescent="0.25">
      <c r="A15" s="87" t="s">
        <v>28</v>
      </c>
      <c r="B15" s="91" t="s">
        <v>29</v>
      </c>
    </row>
    <row r="16" spans="1:4" x14ac:dyDescent="0.25">
      <c r="A16" s="87" t="s">
        <v>30</v>
      </c>
      <c r="B16" s="91" t="s">
        <v>31</v>
      </c>
    </row>
    <row r="17" spans="1:2" x14ac:dyDescent="0.25">
      <c r="A17" s="87" t="s">
        <v>32</v>
      </c>
      <c r="B17" s="91" t="s">
        <v>33</v>
      </c>
    </row>
    <row r="18" spans="1:2" x14ac:dyDescent="0.25">
      <c r="A18" s="87" t="s">
        <v>34</v>
      </c>
      <c r="B18" s="91" t="s">
        <v>35</v>
      </c>
    </row>
    <row r="19" spans="1:2" x14ac:dyDescent="0.25">
      <c r="A19" s="87" t="s">
        <v>36</v>
      </c>
      <c r="B19" s="91" t="s">
        <v>37</v>
      </c>
    </row>
    <row r="20" spans="1:2" x14ac:dyDescent="0.25">
      <c r="A20" s="87" t="s">
        <v>38</v>
      </c>
      <c r="B20" s="91" t="s">
        <v>39</v>
      </c>
    </row>
    <row r="21" spans="1:2" x14ac:dyDescent="0.25">
      <c r="A21" s="87" t="s">
        <v>40</v>
      </c>
      <c r="B21" s="91" t="s">
        <v>41</v>
      </c>
    </row>
    <row r="22" spans="1:2" x14ac:dyDescent="0.25">
      <c r="A22" s="87" t="s">
        <v>42</v>
      </c>
      <c r="B22" s="91" t="s">
        <v>43</v>
      </c>
    </row>
    <row r="23" spans="1:2" x14ac:dyDescent="0.25">
      <c r="A23" s="87" t="s">
        <v>44</v>
      </c>
      <c r="B23" s="91" t="s">
        <v>45</v>
      </c>
    </row>
    <row r="24" spans="1:2" x14ac:dyDescent="0.25">
      <c r="A24" s="87" t="s">
        <v>46</v>
      </c>
      <c r="B24" s="91" t="s">
        <v>47</v>
      </c>
    </row>
    <row r="25" spans="1:2" x14ac:dyDescent="0.25">
      <c r="A25" s="87" t="s">
        <v>24</v>
      </c>
      <c r="B25" s="91" t="s">
        <v>48</v>
      </c>
    </row>
    <row r="26" spans="1:2" x14ac:dyDescent="0.25">
      <c r="A26" s="87" t="s">
        <v>49</v>
      </c>
      <c r="B26" s="91" t="s">
        <v>50</v>
      </c>
    </row>
    <row r="27" spans="1:2" x14ac:dyDescent="0.25">
      <c r="A27" s="87" t="s">
        <v>51</v>
      </c>
      <c r="B27" s="91" t="s">
        <v>52</v>
      </c>
    </row>
    <row r="28" spans="1:2" x14ac:dyDescent="0.25">
      <c r="A28" s="87" t="s">
        <v>53</v>
      </c>
      <c r="B28" s="91" t="s">
        <v>54</v>
      </c>
    </row>
    <row r="29" spans="1:2" x14ac:dyDescent="0.25">
      <c r="A29" s="87" t="s">
        <v>55</v>
      </c>
      <c r="B29" s="91" t="s">
        <v>56</v>
      </c>
    </row>
    <row r="30" spans="1:2" x14ac:dyDescent="0.25">
      <c r="A30" s="87" t="s">
        <v>57</v>
      </c>
      <c r="B30" s="91" t="s">
        <v>58</v>
      </c>
    </row>
    <row r="31" spans="1:2" x14ac:dyDescent="0.25">
      <c r="A31" s="88" t="s">
        <v>59</v>
      </c>
      <c r="B31" s="91" t="s">
        <v>60</v>
      </c>
    </row>
    <row r="32" spans="1:2" x14ac:dyDescent="0.25">
      <c r="A32" s="194" t="s">
        <v>195</v>
      </c>
      <c r="B32" s="91" t="s">
        <v>61</v>
      </c>
    </row>
    <row r="33" spans="1:2" x14ac:dyDescent="0.25">
      <c r="A33" s="87" t="s">
        <v>114</v>
      </c>
      <c r="B33" s="91" t="s">
        <v>62</v>
      </c>
    </row>
    <row r="34" spans="1:2" x14ac:dyDescent="0.25">
      <c r="A34" s="84" t="s">
        <v>196</v>
      </c>
      <c r="B34" s="92"/>
    </row>
    <row r="35" spans="1:2" x14ac:dyDescent="0.25">
      <c r="A35" s="87" t="s">
        <v>186</v>
      </c>
      <c r="B35" s="91" t="s">
        <v>197</v>
      </c>
    </row>
    <row r="36" spans="1:2" x14ac:dyDescent="0.25">
      <c r="A36" s="87" t="s">
        <v>189</v>
      </c>
      <c r="B36" s="91" t="s">
        <v>198</v>
      </c>
    </row>
    <row r="37" spans="1:2" x14ac:dyDescent="0.25">
      <c r="A37" s="87" t="s">
        <v>190</v>
      </c>
      <c r="B37" s="91" t="s">
        <v>200</v>
      </c>
    </row>
    <row r="38" spans="1:2" ht="30" x14ac:dyDescent="0.25">
      <c r="A38" s="87" t="s">
        <v>191</v>
      </c>
      <c r="B38" s="91" t="s">
        <v>201</v>
      </c>
    </row>
    <row r="39" spans="1:2" x14ac:dyDescent="0.25">
      <c r="A39" s="87" t="s">
        <v>192</v>
      </c>
      <c r="B39" s="91" t="s">
        <v>199</v>
      </c>
    </row>
    <row r="40" spans="1:2" x14ac:dyDescent="0.25">
      <c r="A40" s="84" t="s">
        <v>63</v>
      </c>
      <c r="B40" s="92"/>
    </row>
    <row r="41" spans="1:2" x14ac:dyDescent="0.25">
      <c r="A41" s="88" t="s">
        <v>187</v>
      </c>
      <c r="B41" s="91" t="s">
        <v>202</v>
      </c>
    </row>
    <row r="42" spans="1:2" x14ac:dyDescent="0.25">
      <c r="A42" s="88" t="s">
        <v>185</v>
      </c>
      <c r="B42" s="91" t="s">
        <v>203</v>
      </c>
    </row>
    <row r="43" spans="1:2" x14ac:dyDescent="0.25">
      <c r="A43" s="88" t="s">
        <v>115</v>
      </c>
      <c r="B43" s="91" t="s">
        <v>204</v>
      </c>
    </row>
    <row r="44" spans="1:2" x14ac:dyDescent="0.25">
      <c r="A44" s="88" t="s">
        <v>183</v>
      </c>
      <c r="B44" s="91" t="s">
        <v>64</v>
      </c>
    </row>
    <row r="45" spans="1:2" x14ac:dyDescent="0.25">
      <c r="A45" s="88" t="s">
        <v>184</v>
      </c>
      <c r="B45" s="91" t="s">
        <v>205</v>
      </c>
    </row>
    <row r="46" spans="1:2" x14ac:dyDescent="0.25">
      <c r="A46" s="88" t="s">
        <v>116</v>
      </c>
      <c r="B46" s="91" t="s">
        <v>206</v>
      </c>
    </row>
    <row r="47" spans="1:2" x14ac:dyDescent="0.25">
      <c r="A47" s="84" t="s">
        <v>13</v>
      </c>
      <c r="B47" s="92"/>
    </row>
    <row r="48" spans="1:2" x14ac:dyDescent="0.25">
      <c r="A48" s="87" t="s">
        <v>117</v>
      </c>
      <c r="B48" s="91" t="s">
        <v>208</v>
      </c>
    </row>
    <row r="49" spans="1:2" x14ac:dyDescent="0.25">
      <c r="A49" s="87" t="s">
        <v>118</v>
      </c>
      <c r="B49" s="91" t="s">
        <v>203</v>
      </c>
    </row>
    <row r="50" spans="1:2" x14ac:dyDescent="0.25">
      <c r="A50" s="87" t="s">
        <v>119</v>
      </c>
      <c r="B50" s="91" t="s">
        <v>207</v>
      </c>
    </row>
    <row r="51" spans="1:2" x14ac:dyDescent="0.25">
      <c r="A51" s="84" t="s">
        <v>65</v>
      </c>
      <c r="B51" s="92"/>
    </row>
    <row r="52" spans="1:2" x14ac:dyDescent="0.25">
      <c r="A52" s="88" t="s">
        <v>66</v>
      </c>
      <c r="B52" s="91" t="s">
        <v>67</v>
      </c>
    </row>
    <row r="53" spans="1:2" ht="30" x14ac:dyDescent="0.25">
      <c r="A53" s="87" t="s">
        <v>68</v>
      </c>
      <c r="B53" s="91" t="s">
        <v>69</v>
      </c>
    </row>
    <row r="54" spans="1:2" x14ac:dyDescent="0.25">
      <c r="A54" s="84" t="s">
        <v>70</v>
      </c>
      <c r="B54" s="92"/>
    </row>
    <row r="55" spans="1:2" x14ac:dyDescent="0.25">
      <c r="A55" s="88" t="s">
        <v>71</v>
      </c>
      <c r="B55" s="91" t="s">
        <v>72</v>
      </c>
    </row>
    <row r="56" spans="1:2" x14ac:dyDescent="0.25">
      <c r="A56" s="87" t="s">
        <v>73</v>
      </c>
      <c r="B56" s="91" t="s">
        <v>74</v>
      </c>
    </row>
    <row r="57" spans="1:2" x14ac:dyDescent="0.25">
      <c r="A57" s="87" t="s">
        <v>75</v>
      </c>
      <c r="B57" s="91" t="s">
        <v>76</v>
      </c>
    </row>
    <row r="58" spans="1:2" x14ac:dyDescent="0.25">
      <c r="A58" s="89" t="s">
        <v>77</v>
      </c>
      <c r="B58" s="94" t="s">
        <v>78</v>
      </c>
    </row>
  </sheetData>
  <pageMargins left="0.7" right="0.7" top="0.75" bottom="0.75" header="0.3" footer="0.3"/>
  <pageSetup paperSize="9" orientation="portrait" horizontalDpi="300" verticalDpi="0" copies="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6B65D-CD9F-465B-8E7E-EA550093FA7D}">
  <sheetPr>
    <tabColor rgb="FFFF9999"/>
    <pageSetUpPr autoPageBreaks="0"/>
  </sheetPr>
  <dimension ref="A1:AQ43"/>
  <sheetViews>
    <sheetView tabSelected="1" zoomScaleNormal="100" workbookViewId="0">
      <selection activeCell="F44" sqref="F44"/>
    </sheetView>
  </sheetViews>
  <sheetFormatPr defaultColWidth="8.7109375" defaultRowHeight="15" x14ac:dyDescent="0.25"/>
  <cols>
    <col min="1" max="1" width="20.5703125" style="34" customWidth="1"/>
    <col min="2" max="2" width="13.28515625" style="34" bestFit="1" customWidth="1"/>
    <col min="3" max="3" width="11.42578125" style="34" bestFit="1" customWidth="1"/>
    <col min="4" max="4" width="13.7109375" style="34" customWidth="1"/>
    <col min="5" max="5" width="13.85546875" style="34" bestFit="1" customWidth="1"/>
    <col min="6" max="7" width="10.5703125" style="34" customWidth="1"/>
    <col min="8" max="8" width="11.42578125" style="34" bestFit="1" customWidth="1"/>
    <col min="9" max="9" width="11.42578125" style="34" customWidth="1"/>
    <col min="10" max="11" width="10.5703125" style="34" customWidth="1"/>
    <col min="12" max="12" width="11.28515625" style="34" bestFit="1" customWidth="1"/>
    <col min="13" max="13" width="10.5703125" style="34" customWidth="1"/>
    <col min="14" max="14" width="11.28515625" style="34" bestFit="1" customWidth="1"/>
    <col min="15" max="15" width="9.7109375" style="34" bestFit="1" customWidth="1"/>
    <col min="16" max="18" width="10.5703125" style="34" customWidth="1"/>
    <col min="19" max="19" width="14.28515625" style="34" customWidth="1"/>
    <col min="20" max="20" width="10.5703125" style="34" customWidth="1"/>
    <col min="21" max="21" width="12.7109375" style="34" bestFit="1" customWidth="1"/>
    <col min="22" max="22" width="12.7109375" style="34" customWidth="1"/>
    <col min="23" max="23" width="13.5703125" style="34" customWidth="1"/>
    <col min="24" max="27" width="12.7109375" style="34" customWidth="1"/>
    <col min="28" max="28" width="13.42578125" style="34" bestFit="1" customWidth="1"/>
    <col min="29" max="29" width="15" style="34" customWidth="1"/>
    <col min="30" max="30" width="15.28515625" style="34" customWidth="1"/>
    <col min="31" max="31" width="16.42578125" style="34" customWidth="1"/>
    <col min="32" max="32" width="15" style="34" customWidth="1"/>
    <col min="33" max="33" width="16.28515625" style="34" customWidth="1"/>
    <col min="34" max="34" width="12.28515625" style="34" customWidth="1"/>
    <col min="35" max="35" width="16.5703125" style="34" bestFit="1" customWidth="1"/>
    <col min="36" max="36" width="14.7109375" style="34" customWidth="1"/>
    <col min="37" max="37" width="11.7109375" style="34" customWidth="1"/>
    <col min="38" max="38" width="11" style="34" bestFit="1" customWidth="1"/>
    <col min="39" max="39" width="12.5703125" style="34" customWidth="1"/>
    <col min="40" max="40" width="11.28515625" style="34" customWidth="1"/>
    <col min="41" max="41" width="12.7109375" style="34" customWidth="1"/>
    <col min="42" max="42" width="15.5703125" style="34" customWidth="1"/>
    <col min="43" max="46" width="12.5703125" style="34" customWidth="1"/>
    <col min="47" max="47" width="9" style="34" bestFit="1" customWidth="1"/>
    <col min="48" max="16384" width="8.7109375" style="34"/>
  </cols>
  <sheetData>
    <row r="1" spans="1:43" s="37" customFormat="1" ht="15.75" thickBot="1" x14ac:dyDescent="0.3"/>
    <row r="2" spans="1:43" ht="15.75" thickTop="1" x14ac:dyDescent="0.25">
      <c r="G2" s="43"/>
    </row>
    <row r="3" spans="1:43" x14ac:dyDescent="0.25">
      <c r="A3" s="31" t="s">
        <v>3</v>
      </c>
      <c r="B3" s="51" t="s">
        <v>79</v>
      </c>
      <c r="G3" s="44"/>
      <c r="H3" s="40" t="str">
        <f>IF(AND(H4="", H5=""), "", "Fout sheet:")</f>
        <v/>
      </c>
      <c r="I3" s="40"/>
      <c r="J3" s="40"/>
      <c r="K3" s="40"/>
      <c r="L3" s="40"/>
      <c r="M3" s="40"/>
      <c r="N3" s="40"/>
    </row>
    <row r="4" spans="1:43" x14ac:dyDescent="0.25">
      <c r="A4" s="32" t="s">
        <v>5</v>
      </c>
      <c r="B4" s="96">
        <v>2</v>
      </c>
      <c r="C4" s="36" t="s">
        <v>80</v>
      </c>
      <c r="D4" s="35" t="s">
        <v>6</v>
      </c>
      <c r="G4" s="44"/>
      <c r="H4" s="42" t="str">
        <f>IF(AND($T$15:$T$38),"",  "Gegevens komen niet overeen met dienstverbandlengte. Input wijzigen of ingang/einde dienstverband verplaatsen")</f>
        <v/>
      </c>
      <c r="I4" s="42"/>
      <c r="J4" s="42"/>
      <c r="K4" s="42"/>
      <c r="L4" s="42"/>
      <c r="M4" s="42"/>
      <c r="N4" s="42"/>
    </row>
    <row r="5" spans="1:43" x14ac:dyDescent="0.25">
      <c r="A5" s="31" t="s">
        <v>7</v>
      </c>
      <c r="B5" s="96">
        <v>12</v>
      </c>
      <c r="C5" s="36" t="s">
        <v>80</v>
      </c>
      <c r="D5" s="35" t="s">
        <v>8</v>
      </c>
      <c r="G5" s="44"/>
      <c r="H5" s="42" t="str">
        <f>IF(B6&lt;=B7,"",  "Ingang dienstverband kan niet voor einddatum dienstverband liggen")</f>
        <v/>
      </c>
      <c r="I5" s="42"/>
      <c r="J5" s="42"/>
      <c r="K5" s="42"/>
      <c r="L5" s="42"/>
      <c r="M5" s="42"/>
      <c r="N5" s="42"/>
    </row>
    <row r="6" spans="1:43" x14ac:dyDescent="0.25">
      <c r="A6" s="31" t="s">
        <v>9</v>
      </c>
      <c r="B6" s="52">
        <v>46388</v>
      </c>
      <c r="G6" s="44"/>
    </row>
    <row r="7" spans="1:43" x14ac:dyDescent="0.25">
      <c r="A7" s="31" t="s">
        <v>11</v>
      </c>
      <c r="B7" s="52">
        <v>47097</v>
      </c>
      <c r="G7" s="44"/>
    </row>
    <row r="8" spans="1:43" x14ac:dyDescent="0.25">
      <c r="A8" s="31" t="s">
        <v>13</v>
      </c>
      <c r="B8" s="52" t="b">
        <v>1</v>
      </c>
      <c r="D8" s="48"/>
      <c r="E8" s="49" t="s">
        <v>81</v>
      </c>
      <c r="F8" s="34" t="s">
        <v>82</v>
      </c>
      <c r="G8" s="44"/>
    </row>
    <row r="9" spans="1:43" x14ac:dyDescent="0.25">
      <c r="A9" s="31" t="s">
        <v>15</v>
      </c>
      <c r="B9" s="81">
        <v>51</v>
      </c>
      <c r="D9" s="49"/>
      <c r="E9" s="49"/>
      <c r="G9" s="44"/>
    </row>
    <row r="10" spans="1:43" x14ac:dyDescent="0.25">
      <c r="A10" s="31" t="s">
        <v>17</v>
      </c>
      <c r="B10" s="81">
        <v>44</v>
      </c>
      <c r="D10" s="49"/>
      <c r="E10" s="49"/>
      <c r="G10" s="44"/>
    </row>
    <row r="11" spans="1:43" s="37" customFormat="1" ht="15.75" thickBot="1" x14ac:dyDescent="0.3">
      <c r="G11" s="45"/>
    </row>
    <row r="12" spans="1:43" ht="15.75" thickTop="1" x14ac:dyDescent="0.25">
      <c r="D12" s="34" t="s">
        <v>83</v>
      </c>
      <c r="M12" s="34" t="s">
        <v>84</v>
      </c>
      <c r="U12" s="34" t="s">
        <v>194</v>
      </c>
      <c r="W12" s="177" t="s">
        <v>188</v>
      </c>
      <c r="AA12" s="177"/>
      <c r="AB12" s="201" t="s">
        <v>63</v>
      </c>
      <c r="AC12" s="202" t="s">
        <v>85</v>
      </c>
      <c r="AD12" s="203" t="s">
        <v>86</v>
      </c>
      <c r="AE12" s="203"/>
      <c r="AF12" s="203"/>
      <c r="AG12" s="204"/>
      <c r="AH12" s="40" t="s">
        <v>13</v>
      </c>
      <c r="AJ12" s="43" t="s">
        <v>87</v>
      </c>
      <c r="AK12" s="40" t="s">
        <v>65</v>
      </c>
      <c r="AM12" s="201" t="s">
        <v>70</v>
      </c>
      <c r="AN12" s="203"/>
      <c r="AO12" s="203"/>
      <c r="AP12" s="204"/>
    </row>
    <row r="13" spans="1:43" s="65" customFormat="1" ht="11.25" x14ac:dyDescent="0.2">
      <c r="D13" s="65" t="s">
        <v>88</v>
      </c>
      <c r="E13" s="65" t="s">
        <v>89</v>
      </c>
      <c r="G13" s="65" t="s">
        <v>90</v>
      </c>
      <c r="I13" s="65" t="s">
        <v>91</v>
      </c>
      <c r="K13" s="65" t="s">
        <v>92</v>
      </c>
      <c r="L13" s="65" t="s">
        <v>93</v>
      </c>
      <c r="W13" s="176"/>
      <c r="AA13" s="176"/>
      <c r="AB13" s="205"/>
      <c r="AC13" s="206"/>
      <c r="AD13" s="206"/>
      <c r="AE13" s="206"/>
      <c r="AF13" s="206"/>
      <c r="AG13" s="207"/>
      <c r="AJ13" s="178"/>
      <c r="AL13" s="176"/>
      <c r="AM13" s="205"/>
      <c r="AN13" s="206"/>
      <c r="AO13" s="176"/>
      <c r="AP13" s="207"/>
    </row>
    <row r="14" spans="1:43" s="55" customFormat="1" ht="63.75" x14ac:dyDescent="0.2">
      <c r="A14" s="64" t="s">
        <v>95</v>
      </c>
      <c r="B14" s="55" t="s">
        <v>96</v>
      </c>
      <c r="C14" s="56" t="s">
        <v>97</v>
      </c>
      <c r="D14" s="55" t="s">
        <v>98</v>
      </c>
      <c r="E14" s="55" t="s">
        <v>99</v>
      </c>
      <c r="F14" s="55" t="s">
        <v>100</v>
      </c>
      <c r="G14" s="55" t="s">
        <v>101</v>
      </c>
      <c r="H14" s="55" t="s">
        <v>102</v>
      </c>
      <c r="I14" s="55" t="s">
        <v>103</v>
      </c>
      <c r="J14" s="55" t="s">
        <v>104</v>
      </c>
      <c r="K14" s="55" t="s">
        <v>105</v>
      </c>
      <c r="L14" s="56" t="s">
        <v>106</v>
      </c>
      <c r="M14" s="55" t="s">
        <v>107</v>
      </c>
      <c r="N14" s="55" t="s">
        <v>97</v>
      </c>
      <c r="O14" s="55" t="s">
        <v>108</v>
      </c>
      <c r="P14" s="55" t="s">
        <v>109</v>
      </c>
      <c r="Q14" s="55" t="s">
        <v>110</v>
      </c>
      <c r="R14" s="55" t="s">
        <v>111</v>
      </c>
      <c r="S14" s="56" t="s">
        <v>112</v>
      </c>
      <c r="T14" s="57" t="s">
        <v>113</v>
      </c>
      <c r="U14" s="55" t="s">
        <v>182</v>
      </c>
      <c r="V14" s="56" t="s">
        <v>114</v>
      </c>
      <c r="W14" s="62" t="s">
        <v>186</v>
      </c>
      <c r="X14" s="55" t="s">
        <v>189</v>
      </c>
      <c r="Y14" s="55" t="s">
        <v>190</v>
      </c>
      <c r="Z14" s="55" t="s">
        <v>191</v>
      </c>
      <c r="AA14" s="55" t="s">
        <v>192</v>
      </c>
      <c r="AB14" s="208" t="s">
        <v>187</v>
      </c>
      <c r="AC14" s="62" t="s">
        <v>185</v>
      </c>
      <c r="AD14" s="55" t="s">
        <v>115</v>
      </c>
      <c r="AE14" s="62" t="s">
        <v>183</v>
      </c>
      <c r="AF14" s="56" t="s">
        <v>209</v>
      </c>
      <c r="AG14" s="209" t="s">
        <v>116</v>
      </c>
      <c r="AH14" s="56" t="s">
        <v>117</v>
      </c>
      <c r="AI14" s="55" t="s">
        <v>118</v>
      </c>
      <c r="AJ14" s="55" t="s">
        <v>119</v>
      </c>
      <c r="AK14" s="62" t="s">
        <v>120</v>
      </c>
      <c r="AL14" s="55" t="s">
        <v>121</v>
      </c>
      <c r="AM14" s="208" t="s">
        <v>122</v>
      </c>
      <c r="AN14" s="55" t="s">
        <v>179</v>
      </c>
      <c r="AO14" s="56" t="s">
        <v>123</v>
      </c>
      <c r="AP14" s="221" t="s">
        <v>124</v>
      </c>
    </row>
    <row r="15" spans="1:43" s="33" customFormat="1" ht="12.75" x14ac:dyDescent="0.2">
      <c r="A15" s="97">
        <f>IF(AND($B$5=12, COUNTIF($A$14:A14, 12)&gt;1), "",IF(OR(AND($B$5=12, A14=12),AND($B$5=13, A14=13), A14 = "Periode"), 1, A14+1))</f>
        <v>1</v>
      </c>
      <c r="B15" s="98">
        <f>IF(OR(IF($B$5=13, rekenwaarden!D3, rekenwaarden!I3)&lt;$B$6,IF($B$5=13, rekenwaarden!C3, rekenwaarden!H3)&gt;$B$7),"",IF(A15="", "", IF($B$5=13, rekenwaarden!C3, rekenwaarden!H3)))</f>
        <v>46388</v>
      </c>
      <c r="C15" s="99">
        <f>IF(B15="", "", IF($B$5=13, rekenwaarden!D3, rekenwaarden!I3))</f>
        <v>46418</v>
      </c>
      <c r="D15" s="100">
        <v>23328</v>
      </c>
      <c r="E15" s="100">
        <v>1000</v>
      </c>
      <c r="F15" s="198">
        <v>138.66999999999999</v>
      </c>
      <c r="G15" s="66">
        <v>20</v>
      </c>
      <c r="H15" s="197" t="s">
        <v>126</v>
      </c>
      <c r="I15" s="66">
        <v>20</v>
      </c>
      <c r="J15" s="66" t="s">
        <v>125</v>
      </c>
      <c r="K15" s="66">
        <v>0</v>
      </c>
      <c r="L15" s="101">
        <v>40</v>
      </c>
      <c r="M15" s="98">
        <f t="shared" ref="M15:M38" si="0">IF(OR(MAX($B$6, B15)&gt;C15, MIN($B$7, C15)&lt;B15),"", MAX($B$6, B15))</f>
        <v>46388</v>
      </c>
      <c r="N15" s="98">
        <f t="shared" ref="N15:N38" si="1">IF(OR(MAX($B$6, B15)&gt;C15, MIN($B$7, C15)&lt;B15),"", MIN($B$7, C15))</f>
        <v>46418</v>
      </c>
      <c r="O15" s="97">
        <f>IF(M15="","",IF($B$4=2,N15-M15+1,NETWORKDAYS(M15, N15)))</f>
        <v>31</v>
      </c>
      <c r="P15" s="102">
        <f t="shared" ref="P15:P38" si="2">IF(M15="", "",  O15 / IF($B$4=2,(C15-B15+1), NETWORKDAYS(B15,C15)))</f>
        <v>1</v>
      </c>
      <c r="Q15" s="103">
        <f>IF(M15="","",
IF($B$4=2,P15/$B$5,
IF($B$4=1,(O15/NETWORKDAYS(DATE(YEAR(M15),1,1), DATE(YEAR(N15),12,31))),0)
))</f>
        <v>8.3333333333333329E-2</v>
      </c>
      <c r="R15" s="104">
        <f>(IF(M15="", "", L15*IF($B$4=2, 52/$B$5*P15, O15/5)))</f>
        <v>173.33333333333331</v>
      </c>
      <c r="S15" s="105">
        <f>MIN(F15,R15)</f>
        <v>138.66999999999999</v>
      </c>
      <c r="T15" s="106" t="b">
        <f t="shared" ref="T15:T38" si="3">IF(M15&lt;&gt;"", AND(D15&lt;&gt;"", F15&lt;&gt;"", L15&lt;&gt;""), AND(D15="", F15="", L15=""))</f>
        <v>1</v>
      </c>
      <c r="U15" s="107">
        <f>S15/R15</f>
        <v>0.80001923076923076</v>
      </c>
      <c r="V15" s="164">
        <f>IF(H15="ja",I15,0)/R15</f>
        <v>0.11538461538461539</v>
      </c>
      <c r="W15" s="108">
        <f>(E15/U15)/Q15</f>
        <v>14999.63943174443</v>
      </c>
      <c r="X15" s="170">
        <f>W15+D15</f>
        <v>38327.639431744428</v>
      </c>
      <c r="Y15" s="170">
        <f t="shared" ref="Y15:Y26" si="4">franchise2027</f>
        <v>19172</v>
      </c>
      <c r="Z15" s="170">
        <f t="shared" ref="Z15:Z26" si="5">MIN(maxloon2027+W15, maxloonexc2027)</f>
        <v>89999.639431744436</v>
      </c>
      <c r="AA15" s="200">
        <f t="shared" ref="AA15:AA26" si="6">maxloonexc2027</f>
        <v>137800</v>
      </c>
      <c r="AB15" s="210">
        <f>MIN(X15,Z15,AA15)-Y15</f>
        <v>19155.639431744428</v>
      </c>
      <c r="AC15" s="110">
        <f t="shared" ref="AC15:AC38" si="7">AB15*U15*Q15</f>
        <v>1277.0733269230768</v>
      </c>
      <c r="AD15" s="200">
        <f>AB15*V15*Q15</f>
        <v>184.18884068985028</v>
      </c>
      <c r="AE15" s="110">
        <f t="shared" ref="AE15:AE25" si="8">AC15*premiepct2027</f>
        <v>357.32511687307687</v>
      </c>
      <c r="AF15" s="168">
        <f t="shared" ref="AF15:AF26" si="9">AD15*premiepct2027*premiekort_ouderschapsverlof2027</f>
        <v>25.768018812510054</v>
      </c>
      <c r="AG15" s="211">
        <f>AE15-AF15</f>
        <v>331.55709806056683</v>
      </c>
      <c r="AH15" s="168">
        <f t="shared" ref="AH15:AH38" si="10">IF(exc_regeling_jn,MAX(MIN(X15,AA15)-Z15, 0),"")</f>
        <v>0</v>
      </c>
      <c r="AI15" s="109">
        <f t="shared" ref="AI15:AI38" si="11">IF(exc_regeling_jn,AH15*U15*Q15,"")</f>
        <v>0</v>
      </c>
      <c r="AJ15" s="109">
        <f>IF(exc_regeling_jn,AI15*gekozen_premie_exc2027,"")</f>
        <v>0</v>
      </c>
      <c r="AK15" s="111">
        <v>18000</v>
      </c>
      <c r="AL15" s="112">
        <f>AK15/1000*VLOOKUP(leeftijd_deelnemer,'premie ANW-hiaat'!A$2:C$54,2,0)*VLOOKUP(leeftijd_partner,'premie ANW-hiaat'!A$2:C$54,3,0)*Q15</f>
        <v>33.222149999999999</v>
      </c>
      <c r="AM15" s="210">
        <f t="shared" ref="AM15:AM38" si="12">AG15</f>
        <v>331.55709806056683</v>
      </c>
      <c r="AN15" s="200">
        <f t="shared" ref="AN15:AN38" si="13">IF(exc_regeling_jn,AJ15,"")</f>
        <v>0</v>
      </c>
      <c r="AO15" s="168">
        <f>AL15</f>
        <v>33.222149999999999</v>
      </c>
      <c r="AP15" s="222">
        <f>SUM(AM15:AO15)</f>
        <v>364.77924806056683</v>
      </c>
      <c r="AQ15" s="219"/>
    </row>
    <row r="16" spans="1:43" s="33" customFormat="1" ht="12.75" x14ac:dyDescent="0.2">
      <c r="A16" s="97">
        <f>IF(AND($B$5=12, COUNTIF($A$14:A15, 12)&gt;1), "",IF(OR(AND($B$5=12, A15=12),AND($B$5=13, A15=13), A15 = "Periode"), 1, A15+1))</f>
        <v>2</v>
      </c>
      <c r="B16" s="98">
        <f>IF(OR(IF($B$5=13, rekenwaarden!D4, rekenwaarden!I4)&lt;$B$6,IF($B$5=13, rekenwaarden!C4, rekenwaarden!H4)&gt;$B$7),"",IF(A16="", "", IF($B$5=13, rekenwaarden!C4, rekenwaarden!H4)))</f>
        <v>46419</v>
      </c>
      <c r="C16" s="99">
        <f>IF(B16="", "", IF($B$5=13, rekenwaarden!D4, rekenwaarden!I4))</f>
        <v>46446</v>
      </c>
      <c r="D16" s="100">
        <v>23328</v>
      </c>
      <c r="E16" s="100">
        <v>1000</v>
      </c>
      <c r="F16" s="198">
        <v>138.66999999999999</v>
      </c>
      <c r="G16" s="66">
        <v>0</v>
      </c>
      <c r="H16" s="66" t="s">
        <v>125</v>
      </c>
      <c r="I16" s="66">
        <v>0</v>
      </c>
      <c r="J16" s="66" t="s">
        <v>125</v>
      </c>
      <c r="K16" s="66">
        <v>0</v>
      </c>
      <c r="L16" s="101">
        <v>40</v>
      </c>
      <c r="M16" s="98">
        <f t="shared" si="0"/>
        <v>46419</v>
      </c>
      <c r="N16" s="98">
        <f t="shared" si="1"/>
        <v>46446</v>
      </c>
      <c r="O16" s="97">
        <f t="shared" ref="O16:O38" si="14">IF(M16="","",IF($B$4=2,N16-M16+1,NETWORKDAYS(M16, N16)))</f>
        <v>28</v>
      </c>
      <c r="P16" s="102">
        <f t="shared" si="2"/>
        <v>1</v>
      </c>
      <c r="Q16" s="103">
        <f t="shared" ref="Q16:Q38" si="15">IF(M16="","",
IF($B$4=2,P16/$B$5,
IF($B$4=1,(O16/NETWORKDAYS(DATE(YEAR(M16),1,1), DATE(YEAR(N16),12,31))),0)
))</f>
        <v>8.3333333333333329E-2</v>
      </c>
      <c r="R16" s="104">
        <f t="shared" ref="R16:R38" si="16">ROUND((IF(M16="", "", L16*IF($B$4=2, 52/$B$5*P16, O16/5))),2)</f>
        <v>173.33</v>
      </c>
      <c r="S16" s="105">
        <f t="shared" ref="S16:S38" si="17">MIN(F16,R16)</f>
        <v>138.66999999999999</v>
      </c>
      <c r="T16" s="106" t="b">
        <f t="shared" si="3"/>
        <v>1</v>
      </c>
      <c r="U16" s="107">
        <f t="shared" ref="U16:U38" si="18">S16/R16</f>
        <v>0.80003461605030857</v>
      </c>
      <c r="V16" s="164">
        <f t="shared" ref="V16:V38" si="19">IF(H16="ja",I16,0)/R16</f>
        <v>0</v>
      </c>
      <c r="W16" s="108">
        <f t="shared" ref="W16:W38" si="20">(E16/U16)/Q16</f>
        <v>14999.350977139973</v>
      </c>
      <c r="X16" s="170">
        <f t="shared" ref="X16:X38" si="21">W16+D16</f>
        <v>38327.350977139969</v>
      </c>
      <c r="Y16" s="170">
        <f t="shared" si="4"/>
        <v>19172</v>
      </c>
      <c r="Z16" s="170">
        <f t="shared" si="5"/>
        <v>89999.350977139969</v>
      </c>
      <c r="AA16" s="200">
        <f t="shared" si="6"/>
        <v>137800</v>
      </c>
      <c r="AB16" s="210">
        <f t="shared" ref="AB16:AB38" si="22">MIN(X16,Z16,AA16)-Y16</f>
        <v>19155.350977139969</v>
      </c>
      <c r="AC16" s="110">
        <f t="shared" si="7"/>
        <v>1277.0786553587564</v>
      </c>
      <c r="AD16" s="200">
        <f t="shared" ref="AD16:AD38" si="23">AB16*V16*Q16</f>
        <v>0</v>
      </c>
      <c r="AE16" s="110">
        <f t="shared" si="8"/>
        <v>357.32660776938002</v>
      </c>
      <c r="AF16" s="168">
        <f t="shared" si="9"/>
        <v>0</v>
      </c>
      <c r="AG16" s="211">
        <f t="shared" ref="AG16:AG38" si="24">AE16-AF16</f>
        <v>357.32660776938002</v>
      </c>
      <c r="AH16" s="168">
        <f t="shared" si="10"/>
        <v>0</v>
      </c>
      <c r="AI16" s="109">
        <f t="shared" si="11"/>
        <v>0</v>
      </c>
      <c r="AJ16" s="109">
        <f t="shared" ref="AJ16:AJ26" si="25">IF(exc_regeling_jn,AI16*gekozen_premie_exc2027,"")</f>
        <v>0</v>
      </c>
      <c r="AK16" s="110">
        <v>18000</v>
      </c>
      <c r="AL16" s="109">
        <f>AK16/1000*VLOOKUP(leeftijd_deelnemer,'premie ANW-hiaat'!A$2:C$54,2,0)*VLOOKUP(leeftijd_partner,'premie ANW-hiaat'!A$2:C$54,3,0)*Q16</f>
        <v>33.222149999999999</v>
      </c>
      <c r="AM16" s="210">
        <f t="shared" si="12"/>
        <v>357.32660776938002</v>
      </c>
      <c r="AN16" s="200">
        <f t="shared" si="13"/>
        <v>0</v>
      </c>
      <c r="AO16" s="168">
        <f t="shared" ref="AO16:AO38" si="26">AL16</f>
        <v>33.222149999999999</v>
      </c>
      <c r="AP16" s="222">
        <f t="shared" ref="AP16:AP38" si="27">SUM(AM16:AO16)</f>
        <v>390.54875776938002</v>
      </c>
      <c r="AQ16" s="219"/>
    </row>
    <row r="17" spans="1:43" s="33" customFormat="1" ht="12.75" x14ac:dyDescent="0.2">
      <c r="A17" s="97">
        <f>IF(AND($B$5=12, COUNTIF($A$14:A16, 12)&gt;1), "",IF(OR(AND($B$5=12, A16=12),AND($B$5=13, A16=13), A16 = "Periode"), 1, A16+1))</f>
        <v>3</v>
      </c>
      <c r="B17" s="98">
        <f>IF(OR(IF($B$5=13, rekenwaarden!D5, rekenwaarden!I5)&lt;$B$6,IF($B$5=13, rekenwaarden!C5, rekenwaarden!H5)&gt;$B$7),"",IF(A17="", "", IF($B$5=13, rekenwaarden!C5, rekenwaarden!H5)))</f>
        <v>46447</v>
      </c>
      <c r="C17" s="99">
        <f>IF(B17="", "", IF($B$5=13, rekenwaarden!D5, rekenwaarden!I5))</f>
        <v>46477</v>
      </c>
      <c r="D17" s="100">
        <v>23328</v>
      </c>
      <c r="E17" s="100">
        <v>1000</v>
      </c>
      <c r="F17" s="198">
        <v>138.66999999999999</v>
      </c>
      <c r="G17" s="66">
        <v>0</v>
      </c>
      <c r="H17" s="66" t="s">
        <v>125</v>
      </c>
      <c r="I17" s="66">
        <v>0</v>
      </c>
      <c r="J17" s="66" t="s">
        <v>125</v>
      </c>
      <c r="K17" s="66">
        <v>0</v>
      </c>
      <c r="L17" s="101">
        <v>40</v>
      </c>
      <c r="M17" s="98">
        <f t="shared" si="0"/>
        <v>46447</v>
      </c>
      <c r="N17" s="98">
        <f t="shared" si="1"/>
        <v>46477</v>
      </c>
      <c r="O17" s="97">
        <f t="shared" si="14"/>
        <v>31</v>
      </c>
      <c r="P17" s="102">
        <f t="shared" si="2"/>
        <v>1</v>
      </c>
      <c r="Q17" s="103">
        <f t="shared" si="15"/>
        <v>8.3333333333333329E-2</v>
      </c>
      <c r="R17" s="104">
        <f t="shared" si="16"/>
        <v>173.33</v>
      </c>
      <c r="S17" s="105">
        <f t="shared" si="17"/>
        <v>138.66999999999999</v>
      </c>
      <c r="T17" s="106" t="b">
        <f t="shared" si="3"/>
        <v>1</v>
      </c>
      <c r="U17" s="67">
        <f t="shared" si="18"/>
        <v>0.80003461605030857</v>
      </c>
      <c r="V17" s="165">
        <f t="shared" si="19"/>
        <v>0</v>
      </c>
      <c r="W17" s="58">
        <f t="shared" si="20"/>
        <v>14999.350977139973</v>
      </c>
      <c r="X17" s="59">
        <f t="shared" si="21"/>
        <v>38327.350977139969</v>
      </c>
      <c r="Y17" s="59">
        <f t="shared" si="4"/>
        <v>19172</v>
      </c>
      <c r="Z17" s="59">
        <f t="shared" si="5"/>
        <v>89999.350977139969</v>
      </c>
      <c r="AA17" s="200">
        <f t="shared" si="6"/>
        <v>137800</v>
      </c>
      <c r="AB17" s="210">
        <f>MIN(X17,Z17,AA17)-Y17</f>
        <v>19155.350977139969</v>
      </c>
      <c r="AC17" s="110">
        <f t="shared" si="7"/>
        <v>1277.0786553587564</v>
      </c>
      <c r="AD17" s="200">
        <f t="shared" si="23"/>
        <v>0</v>
      </c>
      <c r="AE17" s="110">
        <f t="shared" si="8"/>
        <v>357.32660776938002</v>
      </c>
      <c r="AF17" s="168">
        <f t="shared" si="9"/>
        <v>0</v>
      </c>
      <c r="AG17" s="211">
        <f>AE17-AF17</f>
        <v>357.32660776938002</v>
      </c>
      <c r="AH17" s="168">
        <f t="shared" si="10"/>
        <v>0</v>
      </c>
      <c r="AI17" s="109">
        <f t="shared" si="11"/>
        <v>0</v>
      </c>
      <c r="AJ17" s="109">
        <f t="shared" si="25"/>
        <v>0</v>
      </c>
      <c r="AK17" s="110">
        <v>18000</v>
      </c>
      <c r="AL17" s="109">
        <f>AK17/1000*VLOOKUP(leeftijd_deelnemer,'premie ANW-hiaat'!A$2:C$54,2,0)*VLOOKUP(leeftijd_partner,'premie ANW-hiaat'!A$2:C$54,3,0)*Q17</f>
        <v>33.222149999999999</v>
      </c>
      <c r="AM17" s="210">
        <f t="shared" si="12"/>
        <v>357.32660776938002</v>
      </c>
      <c r="AN17" s="200">
        <f t="shared" si="13"/>
        <v>0</v>
      </c>
      <c r="AO17" s="168">
        <f t="shared" si="26"/>
        <v>33.222149999999999</v>
      </c>
      <c r="AP17" s="222">
        <f>SUM(AM17:AO17)</f>
        <v>390.54875776938002</v>
      </c>
      <c r="AQ17" s="219"/>
    </row>
    <row r="18" spans="1:43" s="33" customFormat="1" ht="12.75" x14ac:dyDescent="0.2">
      <c r="A18" s="97">
        <f>IF(AND($B$5=12, COUNTIF($A$14:A17, 12)&gt;1), "",IF(OR(AND($B$5=12, A17=12),AND($B$5=13, A17=13), A17 = "Periode"), 1, A17+1))</f>
        <v>4</v>
      </c>
      <c r="B18" s="98">
        <f>IF(OR(IF($B$5=13, rekenwaarden!D6, rekenwaarden!I6)&lt;$B$6,IF($B$5=13, rekenwaarden!C6, rekenwaarden!H6)&gt;$B$7),"",IF(A18="", "", IF($B$5=13, rekenwaarden!C6, rekenwaarden!H6)))</f>
        <v>46478</v>
      </c>
      <c r="C18" s="99">
        <f>IF(B18="", "", IF($B$5=13, rekenwaarden!D6, rekenwaarden!I6))</f>
        <v>46507</v>
      </c>
      <c r="D18" s="100">
        <v>23328</v>
      </c>
      <c r="E18" s="100">
        <v>1000</v>
      </c>
      <c r="F18" s="198">
        <v>138.66999999999999</v>
      </c>
      <c r="G18" s="66">
        <v>20</v>
      </c>
      <c r="H18" s="66" t="s">
        <v>125</v>
      </c>
      <c r="I18" s="66">
        <v>20</v>
      </c>
      <c r="J18" s="181" t="s">
        <v>126</v>
      </c>
      <c r="K18" s="66">
        <v>20</v>
      </c>
      <c r="L18" s="101">
        <v>40</v>
      </c>
      <c r="M18" s="98">
        <f t="shared" si="0"/>
        <v>46478</v>
      </c>
      <c r="N18" s="98">
        <f t="shared" si="1"/>
        <v>46507</v>
      </c>
      <c r="O18" s="97">
        <f t="shared" si="14"/>
        <v>30</v>
      </c>
      <c r="P18" s="102">
        <f t="shared" si="2"/>
        <v>1</v>
      </c>
      <c r="Q18" s="103">
        <f t="shared" si="15"/>
        <v>8.3333333333333329E-2</v>
      </c>
      <c r="R18" s="104">
        <f t="shared" si="16"/>
        <v>173.33</v>
      </c>
      <c r="S18" s="105">
        <f t="shared" si="17"/>
        <v>138.66999999999999</v>
      </c>
      <c r="T18" s="106" t="b">
        <f t="shared" si="3"/>
        <v>1</v>
      </c>
      <c r="U18" s="67">
        <f t="shared" si="18"/>
        <v>0.80003461605030857</v>
      </c>
      <c r="V18" s="165">
        <f t="shared" si="19"/>
        <v>0</v>
      </c>
      <c r="W18" s="58">
        <f t="shared" si="20"/>
        <v>14999.350977139973</v>
      </c>
      <c r="X18" s="59">
        <f t="shared" si="21"/>
        <v>38327.350977139969</v>
      </c>
      <c r="Y18" s="59">
        <f t="shared" si="4"/>
        <v>19172</v>
      </c>
      <c r="Z18" s="59">
        <f t="shared" si="5"/>
        <v>89999.350977139969</v>
      </c>
      <c r="AA18" s="200">
        <f t="shared" si="6"/>
        <v>137800</v>
      </c>
      <c r="AB18" s="210">
        <f t="shared" si="22"/>
        <v>19155.350977139969</v>
      </c>
      <c r="AC18" s="110">
        <f t="shared" si="7"/>
        <v>1277.0786553587564</v>
      </c>
      <c r="AD18" s="200">
        <f t="shared" si="23"/>
        <v>0</v>
      </c>
      <c r="AE18" s="110">
        <f t="shared" si="8"/>
        <v>357.32660776938002</v>
      </c>
      <c r="AF18" s="168">
        <f t="shared" si="9"/>
        <v>0</v>
      </c>
      <c r="AG18" s="211">
        <f t="shared" si="24"/>
        <v>357.32660776938002</v>
      </c>
      <c r="AH18" s="168">
        <f t="shared" si="10"/>
        <v>0</v>
      </c>
      <c r="AI18" s="109">
        <f t="shared" si="11"/>
        <v>0</v>
      </c>
      <c r="AJ18" s="109">
        <f>IF(exc_regeling_jn,AI18*gekozen_premie_exc2027,"")</f>
        <v>0</v>
      </c>
      <c r="AK18" s="110">
        <v>18000</v>
      </c>
      <c r="AL18" s="109">
        <f>AK18/1000*VLOOKUP(leeftijd_deelnemer,'premie ANW-hiaat'!A$2:C$54,2,0)*VLOOKUP(leeftijd_partner,'premie ANW-hiaat'!A$2:C$54,3,0)*Q18</f>
        <v>33.222149999999999</v>
      </c>
      <c r="AM18" s="210">
        <f t="shared" si="12"/>
        <v>357.32660776938002</v>
      </c>
      <c r="AN18" s="200">
        <f t="shared" si="13"/>
        <v>0</v>
      </c>
      <c r="AO18" s="168">
        <f t="shared" si="26"/>
        <v>33.222149999999999</v>
      </c>
      <c r="AP18" s="222">
        <f t="shared" si="27"/>
        <v>390.54875776938002</v>
      </c>
      <c r="AQ18" s="219"/>
    </row>
    <row r="19" spans="1:43" s="33" customFormat="1" ht="12.75" x14ac:dyDescent="0.2">
      <c r="A19" s="97">
        <f>IF(AND($B$5=12, COUNTIF($A$14:A18, 12)&gt;1), "",IF(OR(AND($B$5=12, A18=12),AND($B$5=13, A18=13), A18 = "Periode"), 1, A18+1))</f>
        <v>5</v>
      </c>
      <c r="B19" s="98">
        <f>IF(OR(IF($B$5=13, rekenwaarden!D7, rekenwaarden!I7)&lt;$B$6,IF($B$5=13, rekenwaarden!C7, rekenwaarden!H7)&gt;$B$7),"",IF(A19="", "", IF($B$5=13, rekenwaarden!C7, rekenwaarden!H7)))</f>
        <v>46508</v>
      </c>
      <c r="C19" s="99">
        <f>IF(B19="", "", IF($B$5=13, rekenwaarden!D7, rekenwaarden!I7))</f>
        <v>46538</v>
      </c>
      <c r="D19" s="100">
        <v>23328</v>
      </c>
      <c r="E19" s="100">
        <v>1000</v>
      </c>
      <c r="F19" s="198">
        <v>138.66999999999999</v>
      </c>
      <c r="G19" s="66">
        <v>40</v>
      </c>
      <c r="H19" s="181" t="s">
        <v>126</v>
      </c>
      <c r="I19" s="66">
        <v>20</v>
      </c>
      <c r="J19" s="181" t="s">
        <v>126</v>
      </c>
      <c r="K19" s="66">
        <v>20</v>
      </c>
      <c r="L19" s="101">
        <v>40</v>
      </c>
      <c r="M19" s="98">
        <f t="shared" si="0"/>
        <v>46508</v>
      </c>
      <c r="N19" s="98">
        <f t="shared" si="1"/>
        <v>46538</v>
      </c>
      <c r="O19" s="97">
        <f t="shared" si="14"/>
        <v>31</v>
      </c>
      <c r="P19" s="102">
        <f t="shared" si="2"/>
        <v>1</v>
      </c>
      <c r="Q19" s="103">
        <f t="shared" si="15"/>
        <v>8.3333333333333329E-2</v>
      </c>
      <c r="R19" s="104">
        <f t="shared" si="16"/>
        <v>173.33</v>
      </c>
      <c r="S19" s="105">
        <f t="shared" si="17"/>
        <v>138.66999999999999</v>
      </c>
      <c r="T19" s="106" t="b">
        <f t="shared" si="3"/>
        <v>1</v>
      </c>
      <c r="U19" s="107">
        <f t="shared" si="18"/>
        <v>0.80003461605030857</v>
      </c>
      <c r="V19" s="164">
        <f t="shared" si="19"/>
        <v>0.11538683436219926</v>
      </c>
      <c r="W19" s="108">
        <f t="shared" si="20"/>
        <v>14999.350977139973</v>
      </c>
      <c r="X19" s="170">
        <f t="shared" si="21"/>
        <v>38327.350977139969</v>
      </c>
      <c r="Y19" s="170">
        <f t="shared" si="4"/>
        <v>19172</v>
      </c>
      <c r="Z19" s="170">
        <f t="shared" si="5"/>
        <v>89999.350977139969</v>
      </c>
      <c r="AA19" s="200">
        <f t="shared" si="6"/>
        <v>137800</v>
      </c>
      <c r="AB19" s="210">
        <f t="shared" si="22"/>
        <v>19155.350977139969</v>
      </c>
      <c r="AC19" s="110">
        <f t="shared" si="7"/>
        <v>1277.0786553587564</v>
      </c>
      <c r="AD19" s="200">
        <f t="shared" si="23"/>
        <v>184.18960919575343</v>
      </c>
      <c r="AE19" s="110">
        <f t="shared" si="8"/>
        <v>357.32660776938002</v>
      </c>
      <c r="AF19" s="168">
        <f t="shared" si="9"/>
        <v>25.768126326485906</v>
      </c>
      <c r="AG19" s="211">
        <f t="shared" si="24"/>
        <v>331.55848144289411</v>
      </c>
      <c r="AH19" s="168">
        <f t="shared" si="10"/>
        <v>0</v>
      </c>
      <c r="AI19" s="109">
        <f t="shared" si="11"/>
        <v>0</v>
      </c>
      <c r="AJ19" s="109">
        <f t="shared" si="25"/>
        <v>0</v>
      </c>
      <c r="AK19" s="110">
        <v>18000</v>
      </c>
      <c r="AL19" s="109">
        <f>AK19/1000*VLOOKUP(leeftijd_deelnemer,'premie ANW-hiaat'!A$2:C$54,2,0)*VLOOKUP(leeftijd_partner,'premie ANW-hiaat'!A$2:C$54,3,0)*Q19</f>
        <v>33.222149999999999</v>
      </c>
      <c r="AM19" s="210">
        <f t="shared" si="12"/>
        <v>331.55848144289411</v>
      </c>
      <c r="AN19" s="200">
        <f t="shared" si="13"/>
        <v>0</v>
      </c>
      <c r="AO19" s="168">
        <f t="shared" si="26"/>
        <v>33.222149999999999</v>
      </c>
      <c r="AP19" s="222">
        <f t="shared" si="27"/>
        <v>364.78063144289411</v>
      </c>
      <c r="AQ19" s="219"/>
    </row>
    <row r="20" spans="1:43" s="33" customFormat="1" ht="12.75" x14ac:dyDescent="0.2">
      <c r="A20" s="97">
        <f>IF(AND($B$5=12, COUNTIF($A$14:A19, 12)&gt;1), "",IF(OR(AND($B$5=12, A19=12),AND($B$5=13, A19=13), A19 = "Periode"), 1, A19+1))</f>
        <v>6</v>
      </c>
      <c r="B20" s="98">
        <f>IF(OR(IF($B$5=13, rekenwaarden!D8, rekenwaarden!I8)&lt;$B$6,IF($B$5=13, rekenwaarden!C8, rekenwaarden!H8)&gt;$B$7),"",IF(A20="", "", IF($B$5=13, rekenwaarden!C8, rekenwaarden!H8)))</f>
        <v>46539</v>
      </c>
      <c r="C20" s="99">
        <f>IF(B20="", "", IF($B$5=13, rekenwaarden!D8, rekenwaarden!I8))</f>
        <v>46568</v>
      </c>
      <c r="D20" s="100">
        <v>23328</v>
      </c>
      <c r="E20" s="100">
        <v>1000</v>
      </c>
      <c r="F20" s="198">
        <v>138.66999999999999</v>
      </c>
      <c r="G20" s="66">
        <v>20</v>
      </c>
      <c r="H20" s="66" t="s">
        <v>125</v>
      </c>
      <c r="I20" s="66">
        <v>20</v>
      </c>
      <c r="J20" s="181" t="s">
        <v>126</v>
      </c>
      <c r="K20" s="66">
        <v>20</v>
      </c>
      <c r="L20" s="101">
        <v>40</v>
      </c>
      <c r="M20" s="98">
        <f t="shared" si="0"/>
        <v>46539</v>
      </c>
      <c r="N20" s="98">
        <f t="shared" si="1"/>
        <v>46568</v>
      </c>
      <c r="O20" s="97">
        <f t="shared" si="14"/>
        <v>30</v>
      </c>
      <c r="P20" s="102">
        <f t="shared" si="2"/>
        <v>1</v>
      </c>
      <c r="Q20" s="103">
        <f t="shared" si="15"/>
        <v>8.3333333333333329E-2</v>
      </c>
      <c r="R20" s="104">
        <f t="shared" si="16"/>
        <v>173.33</v>
      </c>
      <c r="S20" s="105">
        <f t="shared" si="17"/>
        <v>138.66999999999999</v>
      </c>
      <c r="T20" s="106" t="b">
        <f t="shared" si="3"/>
        <v>1</v>
      </c>
      <c r="U20" s="107">
        <f t="shared" si="18"/>
        <v>0.80003461605030857</v>
      </c>
      <c r="V20" s="164">
        <f t="shared" si="19"/>
        <v>0</v>
      </c>
      <c r="W20" s="108">
        <f t="shared" si="20"/>
        <v>14999.350977139973</v>
      </c>
      <c r="X20" s="170">
        <f t="shared" si="21"/>
        <v>38327.350977139969</v>
      </c>
      <c r="Y20" s="170">
        <f t="shared" si="4"/>
        <v>19172</v>
      </c>
      <c r="Z20" s="170">
        <f t="shared" si="5"/>
        <v>89999.350977139969</v>
      </c>
      <c r="AA20" s="200">
        <f t="shared" si="6"/>
        <v>137800</v>
      </c>
      <c r="AB20" s="210">
        <f t="shared" si="22"/>
        <v>19155.350977139969</v>
      </c>
      <c r="AC20" s="110">
        <f t="shared" si="7"/>
        <v>1277.0786553587564</v>
      </c>
      <c r="AD20" s="200">
        <f t="shared" si="23"/>
        <v>0</v>
      </c>
      <c r="AE20" s="110">
        <f t="shared" si="8"/>
        <v>357.32660776938002</v>
      </c>
      <c r="AF20" s="168">
        <f t="shared" si="9"/>
        <v>0</v>
      </c>
      <c r="AG20" s="211">
        <f t="shared" si="24"/>
        <v>357.32660776938002</v>
      </c>
      <c r="AH20" s="168">
        <f t="shared" si="10"/>
        <v>0</v>
      </c>
      <c r="AI20" s="109">
        <f t="shared" si="11"/>
        <v>0</v>
      </c>
      <c r="AJ20" s="109">
        <f t="shared" si="25"/>
        <v>0</v>
      </c>
      <c r="AK20" s="110">
        <v>18000</v>
      </c>
      <c r="AL20" s="109">
        <f>AK20/1000*VLOOKUP(leeftijd_deelnemer,'premie ANW-hiaat'!A$2:C$54,2,0)*VLOOKUP(leeftijd_partner,'premie ANW-hiaat'!A$2:C$54,3,0)*Q20</f>
        <v>33.222149999999999</v>
      </c>
      <c r="AM20" s="210">
        <f t="shared" si="12"/>
        <v>357.32660776938002</v>
      </c>
      <c r="AN20" s="200">
        <f t="shared" si="13"/>
        <v>0</v>
      </c>
      <c r="AO20" s="168">
        <f t="shared" si="26"/>
        <v>33.222149999999999</v>
      </c>
      <c r="AP20" s="222">
        <f t="shared" si="27"/>
        <v>390.54875776938002</v>
      </c>
      <c r="AQ20" s="219"/>
    </row>
    <row r="21" spans="1:43" s="33" customFormat="1" ht="12.75" x14ac:dyDescent="0.2">
      <c r="A21" s="97">
        <f>IF(AND($B$5=12, COUNTIF($A$14:A20, 12)&gt;1), "",IF(OR(AND($B$5=12, A20=12),AND($B$5=13, A20=13), A20 = "Periode"), 1, A20+1))</f>
        <v>7</v>
      </c>
      <c r="B21" s="98">
        <f>IF(OR(IF($B$5=13, rekenwaarden!D9, rekenwaarden!I9)&lt;$B$6,IF($B$5=13, rekenwaarden!C9, rekenwaarden!H9)&gt;$B$7),"",IF(A21="", "", IF($B$5=13, rekenwaarden!C9, rekenwaarden!H9)))</f>
        <v>46569</v>
      </c>
      <c r="C21" s="99">
        <f>IF(B21="", "", IF($B$5=13, rekenwaarden!D9, rekenwaarden!I9))</f>
        <v>46599</v>
      </c>
      <c r="D21" s="100">
        <v>23328</v>
      </c>
      <c r="E21" s="100">
        <v>1000</v>
      </c>
      <c r="F21" s="198">
        <v>138.66999999999999</v>
      </c>
      <c r="G21" s="66">
        <v>20</v>
      </c>
      <c r="H21" s="181" t="s">
        <v>126</v>
      </c>
      <c r="I21" s="66">
        <v>20</v>
      </c>
      <c r="J21" s="66" t="s">
        <v>125</v>
      </c>
      <c r="K21" s="66">
        <v>20</v>
      </c>
      <c r="L21" s="101">
        <v>40</v>
      </c>
      <c r="M21" s="98">
        <f t="shared" si="0"/>
        <v>46569</v>
      </c>
      <c r="N21" s="98">
        <f t="shared" si="1"/>
        <v>46599</v>
      </c>
      <c r="O21" s="97">
        <f t="shared" si="14"/>
        <v>31</v>
      </c>
      <c r="P21" s="102">
        <f t="shared" si="2"/>
        <v>1</v>
      </c>
      <c r="Q21" s="103">
        <f t="shared" si="15"/>
        <v>8.3333333333333329E-2</v>
      </c>
      <c r="R21" s="104">
        <f t="shared" si="16"/>
        <v>173.33</v>
      </c>
      <c r="S21" s="105">
        <f t="shared" si="17"/>
        <v>138.66999999999999</v>
      </c>
      <c r="T21" s="106" t="b">
        <f t="shared" si="3"/>
        <v>1</v>
      </c>
      <c r="U21" s="107">
        <f t="shared" si="18"/>
        <v>0.80003461605030857</v>
      </c>
      <c r="V21" s="164">
        <f t="shared" si="19"/>
        <v>0.11538683436219926</v>
      </c>
      <c r="W21" s="108">
        <f t="shared" si="20"/>
        <v>14999.350977139973</v>
      </c>
      <c r="X21" s="170">
        <f t="shared" si="21"/>
        <v>38327.350977139969</v>
      </c>
      <c r="Y21" s="170">
        <f t="shared" si="4"/>
        <v>19172</v>
      </c>
      <c r="Z21" s="170">
        <f t="shared" si="5"/>
        <v>89999.350977139969</v>
      </c>
      <c r="AA21" s="200">
        <f t="shared" si="6"/>
        <v>137800</v>
      </c>
      <c r="AB21" s="210">
        <f t="shared" si="22"/>
        <v>19155.350977139969</v>
      </c>
      <c r="AC21" s="110">
        <f t="shared" si="7"/>
        <v>1277.0786553587564</v>
      </c>
      <c r="AD21" s="200">
        <f t="shared" si="23"/>
        <v>184.18960919575343</v>
      </c>
      <c r="AE21" s="110">
        <f t="shared" si="8"/>
        <v>357.32660776938002</v>
      </c>
      <c r="AF21" s="168">
        <f t="shared" si="9"/>
        <v>25.768126326485906</v>
      </c>
      <c r="AG21" s="211">
        <f t="shared" si="24"/>
        <v>331.55848144289411</v>
      </c>
      <c r="AH21" s="168">
        <f t="shared" si="10"/>
        <v>0</v>
      </c>
      <c r="AI21" s="109">
        <f t="shared" si="11"/>
        <v>0</v>
      </c>
      <c r="AJ21" s="109">
        <f t="shared" si="25"/>
        <v>0</v>
      </c>
      <c r="AK21" s="110">
        <v>18000</v>
      </c>
      <c r="AL21" s="109">
        <f>AK21/1000*VLOOKUP(leeftijd_deelnemer,'premie ANW-hiaat'!A$2:C$54,2,0)*VLOOKUP(leeftijd_partner,'premie ANW-hiaat'!A$2:C$54,3,0)*Q21</f>
        <v>33.222149999999999</v>
      </c>
      <c r="AM21" s="210">
        <f t="shared" si="12"/>
        <v>331.55848144289411</v>
      </c>
      <c r="AN21" s="200">
        <f t="shared" si="13"/>
        <v>0</v>
      </c>
      <c r="AO21" s="168">
        <f t="shared" si="26"/>
        <v>33.222149999999999</v>
      </c>
      <c r="AP21" s="222">
        <f t="shared" si="27"/>
        <v>364.78063144289411</v>
      </c>
      <c r="AQ21" s="219"/>
    </row>
    <row r="22" spans="1:43" s="33" customFormat="1" ht="12.75" x14ac:dyDescent="0.2">
      <c r="A22" s="97">
        <f>IF(AND($B$5=12, COUNTIF($A$14:A21, 12)&gt;1), "",IF(OR(AND($B$5=12, A21=12),AND($B$5=13, A21=13), A21 = "Periode"), 1, A21+1))</f>
        <v>8</v>
      </c>
      <c r="B22" s="98">
        <f>IF(OR(IF($B$5=13, rekenwaarden!D10, rekenwaarden!I10)&lt;$B$6,IF($B$5=13, rekenwaarden!C10, rekenwaarden!H10)&gt;$B$7),"",IF(A22="", "", IF($B$5=13, rekenwaarden!C10, rekenwaarden!H10)))</f>
        <v>46600</v>
      </c>
      <c r="C22" s="99">
        <f>IF(B22="", "", IF($B$5=13, rekenwaarden!D10, rekenwaarden!I10))</f>
        <v>46630</v>
      </c>
      <c r="D22" s="100">
        <v>23328</v>
      </c>
      <c r="E22" s="100">
        <v>1000</v>
      </c>
      <c r="F22" s="198">
        <v>138.66999999999999</v>
      </c>
      <c r="G22" s="66">
        <v>40</v>
      </c>
      <c r="H22" s="181" t="s">
        <v>126</v>
      </c>
      <c r="I22" s="66">
        <v>40</v>
      </c>
      <c r="J22" s="66" t="s">
        <v>125</v>
      </c>
      <c r="K22" s="66">
        <v>0</v>
      </c>
      <c r="L22" s="101">
        <v>40</v>
      </c>
      <c r="M22" s="98">
        <f t="shared" si="0"/>
        <v>46600</v>
      </c>
      <c r="N22" s="98">
        <f t="shared" si="1"/>
        <v>46630</v>
      </c>
      <c r="O22" s="97">
        <f t="shared" si="14"/>
        <v>31</v>
      </c>
      <c r="P22" s="102">
        <f t="shared" si="2"/>
        <v>1</v>
      </c>
      <c r="Q22" s="103">
        <f t="shared" si="15"/>
        <v>8.3333333333333329E-2</v>
      </c>
      <c r="R22" s="104">
        <f t="shared" si="16"/>
        <v>173.33</v>
      </c>
      <c r="S22" s="105">
        <f t="shared" si="17"/>
        <v>138.66999999999999</v>
      </c>
      <c r="T22" s="106" t="b">
        <f t="shared" si="3"/>
        <v>1</v>
      </c>
      <c r="U22" s="107">
        <f t="shared" si="18"/>
        <v>0.80003461605030857</v>
      </c>
      <c r="V22" s="164">
        <f t="shared" si="19"/>
        <v>0.23077366872439853</v>
      </c>
      <c r="W22" s="108">
        <f t="shared" si="20"/>
        <v>14999.350977139973</v>
      </c>
      <c r="X22" s="170">
        <f t="shared" si="21"/>
        <v>38327.350977139969</v>
      </c>
      <c r="Y22" s="170">
        <f t="shared" si="4"/>
        <v>19172</v>
      </c>
      <c r="Z22" s="170">
        <f t="shared" si="5"/>
        <v>89999.350977139969</v>
      </c>
      <c r="AA22" s="200">
        <f t="shared" si="6"/>
        <v>137800</v>
      </c>
      <c r="AB22" s="210">
        <f t="shared" si="22"/>
        <v>19155.350977139969</v>
      </c>
      <c r="AC22" s="110">
        <f t="shared" si="7"/>
        <v>1277.0786553587564</v>
      </c>
      <c r="AD22" s="200">
        <f t="shared" si="23"/>
        <v>368.37921839150687</v>
      </c>
      <c r="AE22" s="110">
        <f t="shared" si="8"/>
        <v>357.32660776938002</v>
      </c>
      <c r="AF22" s="168">
        <f t="shared" si="9"/>
        <v>51.536252652971811</v>
      </c>
      <c r="AG22" s="211">
        <f t="shared" si="24"/>
        <v>305.79035511640819</v>
      </c>
      <c r="AH22" s="168">
        <f t="shared" si="10"/>
        <v>0</v>
      </c>
      <c r="AI22" s="109">
        <f t="shared" si="11"/>
        <v>0</v>
      </c>
      <c r="AJ22" s="109">
        <f t="shared" si="25"/>
        <v>0</v>
      </c>
      <c r="AK22" s="110">
        <v>18000</v>
      </c>
      <c r="AL22" s="109">
        <f>AK22/1000*VLOOKUP(leeftijd_deelnemer,'premie ANW-hiaat'!A$2:C$54,2,0)*VLOOKUP(leeftijd_partner,'premie ANW-hiaat'!A$2:C$54,3,0)*Q22</f>
        <v>33.222149999999999</v>
      </c>
      <c r="AM22" s="210">
        <f t="shared" si="12"/>
        <v>305.79035511640819</v>
      </c>
      <c r="AN22" s="200">
        <f t="shared" si="13"/>
        <v>0</v>
      </c>
      <c r="AO22" s="168">
        <f t="shared" si="26"/>
        <v>33.222149999999999</v>
      </c>
      <c r="AP22" s="222">
        <f t="shared" si="27"/>
        <v>339.01250511640819</v>
      </c>
      <c r="AQ22" s="219"/>
    </row>
    <row r="23" spans="1:43" s="33" customFormat="1" ht="12.75" x14ac:dyDescent="0.2">
      <c r="A23" s="97">
        <f>IF(AND($B$5=12, COUNTIF($A$14:A22, 12)&gt;1), "",IF(OR(AND($B$5=12, A22=12),AND($B$5=13, A22=13), A22 = "Periode"), 1, A22+1))</f>
        <v>9</v>
      </c>
      <c r="B23" s="98">
        <f>IF(OR(IF($B$5=13, rekenwaarden!D11, rekenwaarden!I11)&lt;$B$6,IF($B$5=13, rekenwaarden!C11, rekenwaarden!H11)&gt;$B$7),"",IF(A23="", "", IF($B$5=13, rekenwaarden!C11, rekenwaarden!H11)))</f>
        <v>46631</v>
      </c>
      <c r="C23" s="99">
        <f>IF(B23="", "", IF($B$5=13, rekenwaarden!D11, rekenwaarden!I11))</f>
        <v>46660</v>
      </c>
      <c r="D23" s="100">
        <v>23328</v>
      </c>
      <c r="E23" s="100">
        <v>1000</v>
      </c>
      <c r="F23" s="198">
        <v>138.66999999999999</v>
      </c>
      <c r="G23" s="66">
        <v>0</v>
      </c>
      <c r="H23" s="180" t="s">
        <v>125</v>
      </c>
      <c r="I23" s="66">
        <v>0</v>
      </c>
      <c r="J23" s="66" t="s">
        <v>125</v>
      </c>
      <c r="K23" s="66">
        <v>0</v>
      </c>
      <c r="L23" s="101">
        <v>40</v>
      </c>
      <c r="M23" s="98">
        <f t="shared" si="0"/>
        <v>46631</v>
      </c>
      <c r="N23" s="98">
        <f t="shared" si="1"/>
        <v>46660</v>
      </c>
      <c r="O23" s="97">
        <f t="shared" si="14"/>
        <v>30</v>
      </c>
      <c r="P23" s="102">
        <f t="shared" si="2"/>
        <v>1</v>
      </c>
      <c r="Q23" s="103">
        <f t="shared" si="15"/>
        <v>8.3333333333333329E-2</v>
      </c>
      <c r="R23" s="104">
        <f t="shared" si="16"/>
        <v>173.33</v>
      </c>
      <c r="S23" s="105">
        <f t="shared" si="17"/>
        <v>138.66999999999999</v>
      </c>
      <c r="T23" s="106" t="b">
        <f t="shared" si="3"/>
        <v>1</v>
      </c>
      <c r="U23" s="107">
        <f t="shared" si="18"/>
        <v>0.80003461605030857</v>
      </c>
      <c r="V23" s="164">
        <f t="shared" si="19"/>
        <v>0</v>
      </c>
      <c r="W23" s="108">
        <f t="shared" si="20"/>
        <v>14999.350977139973</v>
      </c>
      <c r="X23" s="170">
        <f t="shared" si="21"/>
        <v>38327.350977139969</v>
      </c>
      <c r="Y23" s="170">
        <f t="shared" si="4"/>
        <v>19172</v>
      </c>
      <c r="Z23" s="170">
        <f t="shared" si="5"/>
        <v>89999.350977139969</v>
      </c>
      <c r="AA23" s="200">
        <f t="shared" si="6"/>
        <v>137800</v>
      </c>
      <c r="AB23" s="210">
        <f t="shared" si="22"/>
        <v>19155.350977139969</v>
      </c>
      <c r="AC23" s="110">
        <f t="shared" si="7"/>
        <v>1277.0786553587564</v>
      </c>
      <c r="AD23" s="200">
        <f t="shared" si="23"/>
        <v>0</v>
      </c>
      <c r="AE23" s="110">
        <f t="shared" si="8"/>
        <v>357.32660776938002</v>
      </c>
      <c r="AF23" s="168">
        <f t="shared" si="9"/>
        <v>0</v>
      </c>
      <c r="AG23" s="211">
        <f t="shared" si="24"/>
        <v>357.32660776938002</v>
      </c>
      <c r="AH23" s="168">
        <f t="shared" si="10"/>
        <v>0</v>
      </c>
      <c r="AI23" s="109">
        <f t="shared" si="11"/>
        <v>0</v>
      </c>
      <c r="AJ23" s="109">
        <f t="shared" si="25"/>
        <v>0</v>
      </c>
      <c r="AK23" s="110">
        <v>18000</v>
      </c>
      <c r="AL23" s="109">
        <f>AK23/1000*VLOOKUP(leeftijd_deelnemer,'premie ANW-hiaat'!A$2:C$54,2,0)*VLOOKUP(leeftijd_partner,'premie ANW-hiaat'!A$2:C$54,3,0)*Q23</f>
        <v>33.222149999999999</v>
      </c>
      <c r="AM23" s="210">
        <f t="shared" si="12"/>
        <v>357.32660776938002</v>
      </c>
      <c r="AN23" s="200">
        <f t="shared" si="13"/>
        <v>0</v>
      </c>
      <c r="AO23" s="168">
        <f t="shared" si="26"/>
        <v>33.222149999999999</v>
      </c>
      <c r="AP23" s="222">
        <f t="shared" si="27"/>
        <v>390.54875776938002</v>
      </c>
      <c r="AQ23" s="219"/>
    </row>
    <row r="24" spans="1:43" s="33" customFormat="1" ht="12.75" x14ac:dyDescent="0.2">
      <c r="A24" s="97">
        <f>IF(AND($B$5=12, COUNTIF($A$14:A23, 12)&gt;1), "",IF(OR(AND($B$5=12, A23=12),AND($B$5=13, A23=13), A23 = "Periode"), 1, A23+1))</f>
        <v>10</v>
      </c>
      <c r="B24" s="98">
        <f>IF(OR(IF($B$5=13, rekenwaarden!D12, rekenwaarden!I12)&lt;$B$6,IF($B$5=13, rekenwaarden!C12, rekenwaarden!H12)&gt;$B$7),"",IF(A24="", "", IF($B$5=13, rekenwaarden!C12, rekenwaarden!H12)))</f>
        <v>46661</v>
      </c>
      <c r="C24" s="99">
        <f>IF(B24="", "", IF($B$5=13, rekenwaarden!D12, rekenwaarden!I12))</f>
        <v>46691</v>
      </c>
      <c r="D24" s="100">
        <v>23328</v>
      </c>
      <c r="E24" s="100">
        <v>1000</v>
      </c>
      <c r="F24" s="198">
        <v>138.66999999999999</v>
      </c>
      <c r="G24" s="66">
        <v>0</v>
      </c>
      <c r="H24" s="180" t="s">
        <v>125</v>
      </c>
      <c r="I24" s="66">
        <v>0</v>
      </c>
      <c r="J24" s="180" t="s">
        <v>125</v>
      </c>
      <c r="K24" s="66">
        <v>0</v>
      </c>
      <c r="L24" s="101">
        <v>40</v>
      </c>
      <c r="M24" s="98">
        <f t="shared" si="0"/>
        <v>46661</v>
      </c>
      <c r="N24" s="98">
        <f t="shared" si="1"/>
        <v>46691</v>
      </c>
      <c r="O24" s="97">
        <f t="shared" si="14"/>
        <v>31</v>
      </c>
      <c r="P24" s="102">
        <f t="shared" si="2"/>
        <v>1</v>
      </c>
      <c r="Q24" s="103">
        <f t="shared" si="15"/>
        <v>8.3333333333333329E-2</v>
      </c>
      <c r="R24" s="104">
        <f t="shared" si="16"/>
        <v>173.33</v>
      </c>
      <c r="S24" s="105">
        <f t="shared" si="17"/>
        <v>138.66999999999999</v>
      </c>
      <c r="T24" s="106" t="b">
        <f t="shared" si="3"/>
        <v>1</v>
      </c>
      <c r="U24" s="107">
        <f t="shared" si="18"/>
        <v>0.80003461605030857</v>
      </c>
      <c r="V24" s="164">
        <f t="shared" si="19"/>
        <v>0</v>
      </c>
      <c r="W24" s="108">
        <f t="shared" si="20"/>
        <v>14999.350977139973</v>
      </c>
      <c r="X24" s="170">
        <f t="shared" si="21"/>
        <v>38327.350977139969</v>
      </c>
      <c r="Y24" s="170">
        <f t="shared" si="4"/>
        <v>19172</v>
      </c>
      <c r="Z24" s="170">
        <f t="shared" si="5"/>
        <v>89999.350977139969</v>
      </c>
      <c r="AA24" s="200">
        <f t="shared" si="6"/>
        <v>137800</v>
      </c>
      <c r="AB24" s="210">
        <f t="shared" si="22"/>
        <v>19155.350977139969</v>
      </c>
      <c r="AC24" s="110">
        <f t="shared" si="7"/>
        <v>1277.0786553587564</v>
      </c>
      <c r="AD24" s="200">
        <f t="shared" si="23"/>
        <v>0</v>
      </c>
      <c r="AE24" s="110">
        <f t="shared" si="8"/>
        <v>357.32660776938002</v>
      </c>
      <c r="AF24" s="168">
        <f t="shared" si="9"/>
        <v>0</v>
      </c>
      <c r="AG24" s="211">
        <f t="shared" si="24"/>
        <v>357.32660776938002</v>
      </c>
      <c r="AH24" s="168">
        <f t="shared" si="10"/>
        <v>0</v>
      </c>
      <c r="AI24" s="109">
        <f t="shared" si="11"/>
        <v>0</v>
      </c>
      <c r="AJ24" s="109">
        <f t="shared" si="25"/>
        <v>0</v>
      </c>
      <c r="AK24" s="110">
        <v>18000</v>
      </c>
      <c r="AL24" s="109">
        <f>AK24/1000*VLOOKUP(leeftijd_deelnemer,'premie ANW-hiaat'!A$2:C$54,2,0)*VLOOKUP(leeftijd_partner,'premie ANW-hiaat'!A$2:C$54,3,0)*Q24</f>
        <v>33.222149999999999</v>
      </c>
      <c r="AM24" s="210">
        <f t="shared" si="12"/>
        <v>357.32660776938002</v>
      </c>
      <c r="AN24" s="200">
        <f t="shared" si="13"/>
        <v>0</v>
      </c>
      <c r="AO24" s="168">
        <f t="shared" si="26"/>
        <v>33.222149999999999</v>
      </c>
      <c r="AP24" s="222">
        <f t="shared" si="27"/>
        <v>390.54875776938002</v>
      </c>
      <c r="AQ24" s="219"/>
    </row>
    <row r="25" spans="1:43" s="33" customFormat="1" ht="12.75" x14ac:dyDescent="0.2">
      <c r="A25" s="97">
        <f>IF(AND($B$5=12, COUNTIF($A$14:A24, 12)&gt;1), "",IF(OR(AND($B$5=12, A24=12),AND($B$5=13, A24=13), A24 = "Periode"), 1, A24+1))</f>
        <v>11</v>
      </c>
      <c r="B25" s="98">
        <f>IF(OR(IF($B$5=13, rekenwaarden!D13, rekenwaarden!I13)&lt;$B$6,IF($B$5=13, rekenwaarden!C13, rekenwaarden!H13)&gt;$B$7),"",IF(A25="", "", IF($B$5=13, rekenwaarden!C13, rekenwaarden!H13)))</f>
        <v>46692</v>
      </c>
      <c r="C25" s="99">
        <f>IF(B25="", "", IF($B$5=13, rekenwaarden!D13, rekenwaarden!I13))</f>
        <v>46721</v>
      </c>
      <c r="D25" s="100">
        <v>23328</v>
      </c>
      <c r="E25" s="100">
        <v>1000</v>
      </c>
      <c r="F25" s="198">
        <v>138.66999999999999</v>
      </c>
      <c r="G25" s="66">
        <v>0</v>
      </c>
      <c r="H25" s="66" t="s">
        <v>125</v>
      </c>
      <c r="I25" s="66">
        <v>0</v>
      </c>
      <c r="J25" s="180" t="s">
        <v>125</v>
      </c>
      <c r="K25" s="66">
        <v>0</v>
      </c>
      <c r="L25" s="101">
        <v>40</v>
      </c>
      <c r="M25" s="98">
        <f t="shared" si="0"/>
        <v>46692</v>
      </c>
      <c r="N25" s="98">
        <f t="shared" si="1"/>
        <v>46721</v>
      </c>
      <c r="O25" s="97">
        <f t="shared" si="14"/>
        <v>30</v>
      </c>
      <c r="P25" s="102">
        <f t="shared" si="2"/>
        <v>1</v>
      </c>
      <c r="Q25" s="103">
        <f t="shared" si="15"/>
        <v>8.3333333333333329E-2</v>
      </c>
      <c r="R25" s="104">
        <f t="shared" si="16"/>
        <v>173.33</v>
      </c>
      <c r="S25" s="105">
        <f t="shared" si="17"/>
        <v>138.66999999999999</v>
      </c>
      <c r="T25" s="106" t="b">
        <f t="shared" si="3"/>
        <v>1</v>
      </c>
      <c r="U25" s="107">
        <f t="shared" si="18"/>
        <v>0.80003461605030857</v>
      </c>
      <c r="V25" s="164">
        <f t="shared" si="19"/>
        <v>0</v>
      </c>
      <c r="W25" s="108">
        <f t="shared" si="20"/>
        <v>14999.350977139973</v>
      </c>
      <c r="X25" s="170">
        <f t="shared" si="21"/>
        <v>38327.350977139969</v>
      </c>
      <c r="Y25" s="170">
        <f t="shared" si="4"/>
        <v>19172</v>
      </c>
      <c r="Z25" s="170">
        <f t="shared" si="5"/>
        <v>89999.350977139969</v>
      </c>
      <c r="AA25" s="200">
        <f t="shared" si="6"/>
        <v>137800</v>
      </c>
      <c r="AB25" s="210">
        <f t="shared" si="22"/>
        <v>19155.350977139969</v>
      </c>
      <c r="AC25" s="110">
        <f t="shared" si="7"/>
        <v>1277.0786553587564</v>
      </c>
      <c r="AD25" s="200">
        <f>AB25*V25*Q25</f>
        <v>0</v>
      </c>
      <c r="AE25" s="110">
        <f t="shared" si="8"/>
        <v>357.32660776938002</v>
      </c>
      <c r="AF25" s="168">
        <f t="shared" si="9"/>
        <v>0</v>
      </c>
      <c r="AG25" s="211">
        <f t="shared" si="24"/>
        <v>357.32660776938002</v>
      </c>
      <c r="AH25" s="168">
        <f t="shared" si="10"/>
        <v>0</v>
      </c>
      <c r="AI25" s="109">
        <f t="shared" si="11"/>
        <v>0</v>
      </c>
      <c r="AJ25" s="109">
        <f t="shared" si="25"/>
        <v>0</v>
      </c>
      <c r="AK25" s="110">
        <v>18000</v>
      </c>
      <c r="AL25" s="109">
        <f>AK25/1000*VLOOKUP(leeftijd_deelnemer,'premie ANW-hiaat'!A$2:C$54,2,0)*VLOOKUP(leeftijd_partner,'premie ANW-hiaat'!A$2:C$54,3,0)*Q25</f>
        <v>33.222149999999999</v>
      </c>
      <c r="AM25" s="210">
        <f t="shared" si="12"/>
        <v>357.32660776938002</v>
      </c>
      <c r="AN25" s="200">
        <f t="shared" si="13"/>
        <v>0</v>
      </c>
      <c r="AO25" s="168">
        <f t="shared" si="26"/>
        <v>33.222149999999999</v>
      </c>
      <c r="AP25" s="222">
        <f t="shared" si="27"/>
        <v>390.54875776938002</v>
      </c>
      <c r="AQ25" s="219"/>
    </row>
    <row r="26" spans="1:43" s="33" customFormat="1" ht="12.75" x14ac:dyDescent="0.2">
      <c r="A26" s="97">
        <f>IF(AND($B$5=12, COUNTIF($A$14:A25, 12)&gt;1), "",IF(OR(AND($B$5=12, A25=12),AND($B$5=13, A25=13), A25 = "Periode"), 1, A25+1))</f>
        <v>12</v>
      </c>
      <c r="B26" s="98">
        <f>IF(OR(IF($B$5=13, rekenwaarden!D14, rekenwaarden!I14)&lt;$B$6,IF($B$5=13, rekenwaarden!C14, rekenwaarden!H14)&gt;$B$7),"",IF(A26="", "", IF($B$5=13, rekenwaarden!C14, rekenwaarden!H14)))</f>
        <v>46722</v>
      </c>
      <c r="C26" s="99">
        <f>IF(B26="", "", IF($B$5=13, rekenwaarden!D14, rekenwaarden!I14))</f>
        <v>46752</v>
      </c>
      <c r="D26" s="100">
        <v>23328</v>
      </c>
      <c r="E26" s="100">
        <v>1000</v>
      </c>
      <c r="F26" s="198">
        <v>138.66999999999999</v>
      </c>
      <c r="G26" s="66">
        <v>0</v>
      </c>
      <c r="H26" s="66" t="s">
        <v>125</v>
      </c>
      <c r="I26" s="66">
        <v>0</v>
      </c>
      <c r="J26" s="66" t="s">
        <v>125</v>
      </c>
      <c r="K26" s="66">
        <v>0</v>
      </c>
      <c r="L26" s="101">
        <v>40</v>
      </c>
      <c r="M26" s="98">
        <f t="shared" si="0"/>
        <v>46722</v>
      </c>
      <c r="N26" s="98">
        <f t="shared" si="1"/>
        <v>46752</v>
      </c>
      <c r="O26" s="97">
        <f t="shared" si="14"/>
        <v>31</v>
      </c>
      <c r="P26" s="102">
        <f t="shared" si="2"/>
        <v>1</v>
      </c>
      <c r="Q26" s="103">
        <f t="shared" si="15"/>
        <v>8.3333333333333329E-2</v>
      </c>
      <c r="R26" s="104">
        <f t="shared" si="16"/>
        <v>173.33</v>
      </c>
      <c r="S26" s="105">
        <f t="shared" si="17"/>
        <v>138.66999999999999</v>
      </c>
      <c r="T26" s="106" t="b">
        <f t="shared" si="3"/>
        <v>1</v>
      </c>
      <c r="U26" s="107">
        <f t="shared" si="18"/>
        <v>0.80003461605030857</v>
      </c>
      <c r="V26" s="164">
        <f t="shared" si="19"/>
        <v>0</v>
      </c>
      <c r="W26" s="108">
        <f>(E26/U26)/Q26</f>
        <v>14999.350977139973</v>
      </c>
      <c r="X26" s="170">
        <f>W26+D26</f>
        <v>38327.350977139969</v>
      </c>
      <c r="Y26" s="170">
        <f t="shared" si="4"/>
        <v>19172</v>
      </c>
      <c r="Z26" s="170">
        <f t="shared" si="5"/>
        <v>89999.350977139969</v>
      </c>
      <c r="AA26" s="200">
        <f t="shared" si="6"/>
        <v>137800</v>
      </c>
      <c r="AB26" s="210">
        <f t="shared" si="22"/>
        <v>19155.350977139969</v>
      </c>
      <c r="AC26" s="110">
        <f t="shared" si="7"/>
        <v>1277.0786553587564</v>
      </c>
      <c r="AD26" s="200">
        <f t="shared" si="23"/>
        <v>0</v>
      </c>
      <c r="AE26" s="110">
        <f>AC26*premiepct2027</f>
        <v>357.32660776938002</v>
      </c>
      <c r="AF26" s="168">
        <f t="shared" si="9"/>
        <v>0</v>
      </c>
      <c r="AG26" s="211">
        <f>AE26-AF26</f>
        <v>357.32660776938002</v>
      </c>
      <c r="AH26" s="168">
        <f t="shared" si="10"/>
        <v>0</v>
      </c>
      <c r="AI26" s="109">
        <f>IF(exc_regeling_jn,AH26*U26*Q26,"")</f>
        <v>0</v>
      </c>
      <c r="AJ26" s="109">
        <f t="shared" si="25"/>
        <v>0</v>
      </c>
      <c r="AK26" s="110">
        <v>18000</v>
      </c>
      <c r="AL26" s="109">
        <f>AK26/1000*VLOOKUP(leeftijd_deelnemer,'premie ANW-hiaat'!A$2:C$54,2,0)*VLOOKUP(leeftijd_partner,'premie ANW-hiaat'!A$2:C$54,3,0)*Q26</f>
        <v>33.222149999999999</v>
      </c>
      <c r="AM26" s="210">
        <f t="shared" si="12"/>
        <v>357.32660776938002</v>
      </c>
      <c r="AN26" s="200">
        <f t="shared" si="13"/>
        <v>0</v>
      </c>
      <c r="AO26" s="168">
        <f t="shared" si="26"/>
        <v>33.222149999999999</v>
      </c>
      <c r="AP26" s="222">
        <f t="shared" si="27"/>
        <v>390.54875776938002</v>
      </c>
      <c r="AQ26" s="219"/>
    </row>
    <row r="27" spans="1:43" s="82" customFormat="1" ht="12.75" x14ac:dyDescent="0.2">
      <c r="A27" s="113">
        <f>IF(AND($B$5=12, COUNTIF($A$14:A26, 12)&gt;1), "",IF(OR(AND($B$5=12, A26=12),AND($B$5=13, A26=13), A26 = "Periode"), 1, A26+1))</f>
        <v>1</v>
      </c>
      <c r="B27" s="114">
        <f>IF(OR(IF($B$5=13, rekenwaarden!D15, rekenwaarden!I15)&lt;$B$6,IF($B$5=13, rekenwaarden!C15, rekenwaarden!H15)&gt;$B$7),"",IF(A27="", "", IF($B$5=13, rekenwaarden!C15, rekenwaarden!H15)))</f>
        <v>46753</v>
      </c>
      <c r="C27" s="115">
        <f>IF(B27="", "", IF($B$5=13, rekenwaarden!D15, rekenwaarden!I15))</f>
        <v>46783</v>
      </c>
      <c r="D27" s="116">
        <v>25000</v>
      </c>
      <c r="E27" s="116">
        <v>2000</v>
      </c>
      <c r="F27" s="199">
        <v>173.33</v>
      </c>
      <c r="G27" s="117">
        <v>0</v>
      </c>
      <c r="H27" s="117" t="s">
        <v>125</v>
      </c>
      <c r="I27" s="117">
        <v>0</v>
      </c>
      <c r="J27" s="117" t="s">
        <v>125</v>
      </c>
      <c r="K27" s="117">
        <v>0</v>
      </c>
      <c r="L27" s="118">
        <v>40</v>
      </c>
      <c r="M27" s="114">
        <f>IF(OR(MAX($B$6, B27)&gt;C27, MIN($B$7, C27)&lt;B27),"", MAX($B$6, B27))</f>
        <v>46753</v>
      </c>
      <c r="N27" s="114">
        <f t="shared" si="1"/>
        <v>46783</v>
      </c>
      <c r="O27" s="113">
        <f t="shared" si="14"/>
        <v>31</v>
      </c>
      <c r="P27" s="119">
        <f t="shared" si="2"/>
        <v>1</v>
      </c>
      <c r="Q27" s="120">
        <f t="shared" si="15"/>
        <v>8.3333333333333329E-2</v>
      </c>
      <c r="R27" s="121">
        <f t="shared" si="16"/>
        <v>173.33</v>
      </c>
      <c r="S27" s="122">
        <f t="shared" si="17"/>
        <v>173.33</v>
      </c>
      <c r="T27" s="123" t="b">
        <f t="shared" si="3"/>
        <v>1</v>
      </c>
      <c r="U27" s="124">
        <f t="shared" si="18"/>
        <v>1</v>
      </c>
      <c r="V27" s="166">
        <f t="shared" si="19"/>
        <v>0</v>
      </c>
      <c r="W27" s="125">
        <f t="shared" si="20"/>
        <v>24000</v>
      </c>
      <c r="X27" s="171">
        <f t="shared" si="21"/>
        <v>49000</v>
      </c>
      <c r="Y27" s="171">
        <f t="shared" ref="Y27:Y38" si="28">franchise2028</f>
        <v>19172</v>
      </c>
      <c r="Z27" s="171">
        <f>MIN(maxloon2028+W27, maxloonexc2028)</f>
        <v>119000</v>
      </c>
      <c r="AA27" s="112">
        <f t="shared" ref="AA27:AA38" si="29">maxloonexc2028</f>
        <v>137800</v>
      </c>
      <c r="AB27" s="212">
        <f t="shared" si="22"/>
        <v>29828</v>
      </c>
      <c r="AC27" s="111">
        <f t="shared" si="7"/>
        <v>2485.6666666666665</v>
      </c>
      <c r="AD27" s="112">
        <f t="shared" si="23"/>
        <v>0</v>
      </c>
      <c r="AE27" s="111">
        <f t="shared" ref="AE27:AE38" si="30">AC27*premiepct2028</f>
        <v>695.48953333333327</v>
      </c>
      <c r="AF27" s="126">
        <f t="shared" ref="AF27:AF38" si="31">AD27*premiepct2028*premiekort_ouderschapsverlof2028</f>
        <v>0</v>
      </c>
      <c r="AG27" s="213">
        <f t="shared" si="24"/>
        <v>695.48953333333327</v>
      </c>
      <c r="AH27" s="126">
        <f t="shared" si="10"/>
        <v>0</v>
      </c>
      <c r="AI27" s="112">
        <f t="shared" si="11"/>
        <v>0</v>
      </c>
      <c r="AJ27" s="112">
        <f>IF(exc_regeling_jn,AI27*gekozen_premie_exc2028,"")</f>
        <v>0</v>
      </c>
      <c r="AK27" s="111">
        <v>18000</v>
      </c>
      <c r="AL27" s="112">
        <f>AK27/1000*VLOOKUP(leeftijd_deelnemer+1,'premie ANW-hiaat'!A$2:C$54,2,0)*VLOOKUP(leeftijd_partner+1,'premie ANW-hiaat'!A$2:C$54,3,0)*Q27</f>
        <v>36.012555000000006</v>
      </c>
      <c r="AM27" s="212">
        <f t="shared" si="12"/>
        <v>695.48953333333327</v>
      </c>
      <c r="AN27" s="112">
        <f t="shared" si="13"/>
        <v>0</v>
      </c>
      <c r="AO27" s="126">
        <f t="shared" si="26"/>
        <v>36.012555000000006</v>
      </c>
      <c r="AP27" s="223">
        <f t="shared" si="27"/>
        <v>731.50208833333329</v>
      </c>
      <c r="AQ27" s="113"/>
    </row>
    <row r="28" spans="1:43" s="33" customFormat="1" ht="12.75" x14ac:dyDescent="0.2">
      <c r="A28" s="97">
        <f>IF(AND($B$5=12, COUNTIF($A$14:A27, 12)&gt;1), "",IF(OR(AND($B$5=12, A27=12),AND($B$5=13, A27=13), A27 = "Periode"), 1, A27+1))</f>
        <v>2</v>
      </c>
      <c r="B28" s="98">
        <f>IF(OR(IF($B$5=13, rekenwaarden!D16, rekenwaarden!I16)&lt;$B$6,IF($B$5=13, rekenwaarden!C16, rekenwaarden!H16)&gt;$B$7),"",IF(A28="", "", IF($B$5=13, rekenwaarden!C16, rekenwaarden!H16)))</f>
        <v>46784</v>
      </c>
      <c r="C28" s="99">
        <f>IF(B28="", "", IF($B$5=13, rekenwaarden!D16, rekenwaarden!I16))</f>
        <v>46812</v>
      </c>
      <c r="D28" s="100">
        <v>25000</v>
      </c>
      <c r="E28" s="100">
        <v>2000</v>
      </c>
      <c r="F28" s="198">
        <v>173.33</v>
      </c>
      <c r="G28" s="66">
        <v>0</v>
      </c>
      <c r="H28" s="66" t="s">
        <v>125</v>
      </c>
      <c r="I28" s="66">
        <v>0</v>
      </c>
      <c r="J28" s="66" t="s">
        <v>125</v>
      </c>
      <c r="K28" s="66">
        <v>0</v>
      </c>
      <c r="L28" s="101">
        <v>40</v>
      </c>
      <c r="M28" s="98">
        <f t="shared" si="0"/>
        <v>46784</v>
      </c>
      <c r="N28" s="98">
        <f t="shared" si="1"/>
        <v>46812</v>
      </c>
      <c r="O28" s="97">
        <f t="shared" si="14"/>
        <v>29</v>
      </c>
      <c r="P28" s="102">
        <f t="shared" si="2"/>
        <v>1</v>
      </c>
      <c r="Q28" s="103">
        <f t="shared" si="15"/>
        <v>8.3333333333333329E-2</v>
      </c>
      <c r="R28" s="104">
        <f t="shared" si="16"/>
        <v>173.33</v>
      </c>
      <c r="S28" s="105">
        <f t="shared" si="17"/>
        <v>173.33</v>
      </c>
      <c r="T28" s="106" t="b">
        <f t="shared" si="3"/>
        <v>1</v>
      </c>
      <c r="U28" s="107">
        <f t="shared" si="18"/>
        <v>1</v>
      </c>
      <c r="V28" s="164">
        <f t="shared" si="19"/>
        <v>0</v>
      </c>
      <c r="W28" s="108">
        <f t="shared" si="20"/>
        <v>24000</v>
      </c>
      <c r="X28" s="170">
        <f t="shared" si="21"/>
        <v>49000</v>
      </c>
      <c r="Y28" s="170">
        <f t="shared" si="28"/>
        <v>19172</v>
      </c>
      <c r="Z28" s="170">
        <f t="shared" ref="Z28:Z38" si="32">MIN(maxloon2028+W28, maxloonexc2028)</f>
        <v>119000</v>
      </c>
      <c r="AA28" s="200">
        <f t="shared" si="29"/>
        <v>137800</v>
      </c>
      <c r="AB28" s="210">
        <f t="shared" si="22"/>
        <v>29828</v>
      </c>
      <c r="AC28" s="110">
        <f t="shared" si="7"/>
        <v>2485.6666666666665</v>
      </c>
      <c r="AD28" s="200">
        <f t="shared" si="23"/>
        <v>0</v>
      </c>
      <c r="AE28" s="110">
        <f t="shared" si="30"/>
        <v>695.48953333333327</v>
      </c>
      <c r="AF28" s="168">
        <f t="shared" si="31"/>
        <v>0</v>
      </c>
      <c r="AG28" s="211">
        <f t="shared" si="24"/>
        <v>695.48953333333327</v>
      </c>
      <c r="AH28" s="168">
        <f t="shared" si="10"/>
        <v>0</v>
      </c>
      <c r="AI28" s="109">
        <f t="shared" si="11"/>
        <v>0</v>
      </c>
      <c r="AJ28" s="109">
        <f t="shared" ref="AJ28:AJ38" si="33">IF(exc_regeling_jn,AI28*gekozen_premie_exc2028,"")</f>
        <v>0</v>
      </c>
      <c r="AK28" s="110">
        <v>18000</v>
      </c>
      <c r="AL28" s="109">
        <f>AK28/1000*VLOOKUP(leeftijd_deelnemer+1,'premie ANW-hiaat'!A$2:C$54,2,0)*VLOOKUP(leeftijd_partner+1,'premie ANW-hiaat'!A$2:C$54,3,0)*Q28</f>
        <v>36.012555000000006</v>
      </c>
      <c r="AM28" s="210">
        <f t="shared" si="12"/>
        <v>695.48953333333327</v>
      </c>
      <c r="AN28" s="200">
        <f t="shared" si="13"/>
        <v>0</v>
      </c>
      <c r="AO28" s="168">
        <f t="shared" si="26"/>
        <v>36.012555000000006</v>
      </c>
      <c r="AP28" s="222">
        <f t="shared" si="27"/>
        <v>731.50208833333329</v>
      </c>
      <c r="AQ28" s="219"/>
    </row>
    <row r="29" spans="1:43" s="33" customFormat="1" ht="12.75" x14ac:dyDescent="0.2">
      <c r="A29" s="97">
        <f>IF(AND($B$5=12, COUNTIF($A$14:A28, 12)&gt;1), "",IF(OR(AND($B$5=12, A28=12),AND($B$5=13, A28=13), A28 = "Periode"), 1, A28+1))</f>
        <v>3</v>
      </c>
      <c r="B29" s="98">
        <f>IF(OR(IF($B$5=13, rekenwaarden!D17, rekenwaarden!I17)&lt;$B$6,IF($B$5=13, rekenwaarden!C17, rekenwaarden!H17)&gt;$B$7),"",IF(A29="", "", IF($B$5=13, rekenwaarden!C17, rekenwaarden!H17)))</f>
        <v>46813</v>
      </c>
      <c r="C29" s="99">
        <f>IF(B29="", "", IF($B$5=13, rekenwaarden!D17, rekenwaarden!I17))</f>
        <v>46843</v>
      </c>
      <c r="D29" s="100">
        <v>25000</v>
      </c>
      <c r="E29" s="100">
        <v>2000</v>
      </c>
      <c r="F29" s="198">
        <v>173.33</v>
      </c>
      <c r="G29" s="66">
        <v>40</v>
      </c>
      <c r="H29" s="197" t="s">
        <v>126</v>
      </c>
      <c r="I29" s="66">
        <v>40</v>
      </c>
      <c r="J29" s="66" t="s">
        <v>125</v>
      </c>
      <c r="K29" s="66">
        <v>0</v>
      </c>
      <c r="L29" s="101">
        <v>40</v>
      </c>
      <c r="M29" s="98">
        <f t="shared" si="0"/>
        <v>46813</v>
      </c>
      <c r="N29" s="98">
        <f t="shared" si="1"/>
        <v>46843</v>
      </c>
      <c r="O29" s="97">
        <f t="shared" si="14"/>
        <v>31</v>
      </c>
      <c r="P29" s="102">
        <f t="shared" si="2"/>
        <v>1</v>
      </c>
      <c r="Q29" s="103">
        <f t="shared" si="15"/>
        <v>8.3333333333333329E-2</v>
      </c>
      <c r="R29" s="104">
        <f t="shared" si="16"/>
        <v>173.33</v>
      </c>
      <c r="S29" s="105">
        <f t="shared" si="17"/>
        <v>173.33</v>
      </c>
      <c r="T29" s="106" t="b">
        <f t="shared" si="3"/>
        <v>1</v>
      </c>
      <c r="U29" s="107">
        <f t="shared" si="18"/>
        <v>1</v>
      </c>
      <c r="V29" s="164">
        <f t="shared" si="19"/>
        <v>0.23077366872439853</v>
      </c>
      <c r="W29" s="108">
        <f>(E29/U29)/Q29</f>
        <v>24000</v>
      </c>
      <c r="X29" s="170">
        <f t="shared" si="21"/>
        <v>49000</v>
      </c>
      <c r="Y29" s="170">
        <f t="shared" si="28"/>
        <v>19172</v>
      </c>
      <c r="Z29" s="170">
        <f t="shared" si="32"/>
        <v>119000</v>
      </c>
      <c r="AA29" s="200">
        <f t="shared" si="29"/>
        <v>137800</v>
      </c>
      <c r="AB29" s="210">
        <f t="shared" si="22"/>
        <v>29828</v>
      </c>
      <c r="AC29" s="110">
        <f t="shared" si="7"/>
        <v>2485.6666666666665</v>
      </c>
      <c r="AD29" s="200">
        <f t="shared" si="23"/>
        <v>573.6264158926133</v>
      </c>
      <c r="AE29" s="110">
        <f t="shared" si="30"/>
        <v>695.48953333333327</v>
      </c>
      <c r="AF29" s="168">
        <f t="shared" si="31"/>
        <v>80.250335583376597</v>
      </c>
      <c r="AG29" s="211">
        <f t="shared" si="24"/>
        <v>615.2391977499567</v>
      </c>
      <c r="AH29" s="168">
        <f t="shared" si="10"/>
        <v>0</v>
      </c>
      <c r="AI29" s="109">
        <f t="shared" si="11"/>
        <v>0</v>
      </c>
      <c r="AJ29" s="109">
        <f t="shared" si="33"/>
        <v>0</v>
      </c>
      <c r="AK29" s="110">
        <v>18000</v>
      </c>
      <c r="AL29" s="109">
        <f>AK29/1000*VLOOKUP(leeftijd_deelnemer+1,'premie ANW-hiaat'!A$2:C$54,2,0)*VLOOKUP(leeftijd_partner+1,'premie ANW-hiaat'!A$2:C$54,3,0)*Q29</f>
        <v>36.012555000000006</v>
      </c>
      <c r="AM29" s="210">
        <f t="shared" si="12"/>
        <v>615.2391977499567</v>
      </c>
      <c r="AN29" s="200">
        <f t="shared" si="13"/>
        <v>0</v>
      </c>
      <c r="AO29" s="168">
        <f t="shared" si="26"/>
        <v>36.012555000000006</v>
      </c>
      <c r="AP29" s="222">
        <f t="shared" si="27"/>
        <v>651.25175274995672</v>
      </c>
      <c r="AQ29" s="219"/>
    </row>
    <row r="30" spans="1:43" s="33" customFormat="1" ht="12.75" x14ac:dyDescent="0.2">
      <c r="A30" s="97">
        <f>IF(AND($B$5=12, COUNTIF($A$14:A29, 12)&gt;1), "",IF(OR(AND($B$5=12, A29=12),AND($B$5=13, A29=13), A29 = "Periode"), 1, A29+1))</f>
        <v>4</v>
      </c>
      <c r="B30" s="98">
        <f>IF(OR(IF($B$5=13, rekenwaarden!D18, rekenwaarden!I18)&lt;$B$6,IF($B$5=13, rekenwaarden!C18, rekenwaarden!H18)&gt;$B$7),"",IF(A30="", "", IF($B$5=13, rekenwaarden!C18, rekenwaarden!H18)))</f>
        <v>46844</v>
      </c>
      <c r="C30" s="99">
        <f>IF(B30="", "", IF($B$5=13, rekenwaarden!D18, rekenwaarden!I18))</f>
        <v>46873</v>
      </c>
      <c r="D30" s="100">
        <v>25000</v>
      </c>
      <c r="E30" s="100">
        <v>2000</v>
      </c>
      <c r="F30" s="198">
        <v>113.33</v>
      </c>
      <c r="G30" s="66">
        <v>60</v>
      </c>
      <c r="H30" s="66" t="s">
        <v>125</v>
      </c>
      <c r="I30" s="66">
        <v>60</v>
      </c>
      <c r="J30" s="66" t="s">
        <v>125</v>
      </c>
      <c r="K30" s="66">
        <v>0</v>
      </c>
      <c r="L30" s="101">
        <v>40</v>
      </c>
      <c r="M30" s="98">
        <f t="shared" si="0"/>
        <v>46844</v>
      </c>
      <c r="N30" s="98">
        <f t="shared" si="1"/>
        <v>46873</v>
      </c>
      <c r="O30" s="97">
        <f t="shared" si="14"/>
        <v>30</v>
      </c>
      <c r="P30" s="102">
        <f t="shared" si="2"/>
        <v>1</v>
      </c>
      <c r="Q30" s="103">
        <f t="shared" si="15"/>
        <v>8.3333333333333329E-2</v>
      </c>
      <c r="R30" s="104">
        <f t="shared" si="16"/>
        <v>173.33</v>
      </c>
      <c r="S30" s="105">
        <f t="shared" si="17"/>
        <v>113.33</v>
      </c>
      <c r="T30" s="106" t="b">
        <f t="shared" si="3"/>
        <v>1</v>
      </c>
      <c r="U30" s="107">
        <f t="shared" si="18"/>
        <v>0.65383949691340215</v>
      </c>
      <c r="V30" s="164">
        <f t="shared" si="19"/>
        <v>0</v>
      </c>
      <c r="W30" s="108">
        <f t="shared" si="20"/>
        <v>36706.256066354894</v>
      </c>
      <c r="X30" s="170">
        <f t="shared" si="21"/>
        <v>61706.256066354894</v>
      </c>
      <c r="Y30" s="170">
        <f t="shared" si="28"/>
        <v>19172</v>
      </c>
      <c r="Z30" s="170">
        <f t="shared" si="32"/>
        <v>131706.25606635489</v>
      </c>
      <c r="AA30" s="200">
        <f t="shared" si="29"/>
        <v>137800</v>
      </c>
      <c r="AB30" s="210">
        <f t="shared" si="22"/>
        <v>42534.256066354894</v>
      </c>
      <c r="AC30" s="110">
        <f t="shared" si="7"/>
        <v>2317.5480490009422</v>
      </c>
      <c r="AD30" s="200">
        <f t="shared" si="23"/>
        <v>0</v>
      </c>
      <c r="AE30" s="110">
        <f t="shared" si="30"/>
        <v>648.44994411046366</v>
      </c>
      <c r="AF30" s="168">
        <f t="shared" si="31"/>
        <v>0</v>
      </c>
      <c r="AG30" s="211">
        <f t="shared" si="24"/>
        <v>648.44994411046366</v>
      </c>
      <c r="AH30" s="168">
        <f t="shared" si="10"/>
        <v>0</v>
      </c>
      <c r="AI30" s="109">
        <f t="shared" si="11"/>
        <v>0</v>
      </c>
      <c r="AJ30" s="109">
        <f t="shared" si="33"/>
        <v>0</v>
      </c>
      <c r="AK30" s="110">
        <v>18000</v>
      </c>
      <c r="AL30" s="109">
        <f>AK30/1000*VLOOKUP(leeftijd_deelnemer+1,'premie ANW-hiaat'!A$2:C$54,2,0)*VLOOKUP(leeftijd_partner+1,'premie ANW-hiaat'!A$2:C$54,3,0)*Q30</f>
        <v>36.012555000000006</v>
      </c>
      <c r="AM30" s="210">
        <f t="shared" si="12"/>
        <v>648.44994411046366</v>
      </c>
      <c r="AN30" s="200">
        <f t="shared" si="13"/>
        <v>0</v>
      </c>
      <c r="AO30" s="168">
        <f t="shared" si="26"/>
        <v>36.012555000000006</v>
      </c>
      <c r="AP30" s="222">
        <f t="shared" si="27"/>
        <v>684.46249911046368</v>
      </c>
      <c r="AQ30" s="219"/>
    </row>
    <row r="31" spans="1:43" s="33" customFormat="1" ht="12.75" x14ac:dyDescent="0.2">
      <c r="A31" s="97">
        <f>IF(AND($B$5=12, COUNTIF($A$14:A30, 12)&gt;1), "",IF(OR(AND($B$5=12, A30=12),AND($B$5=13, A30=13), A30 = "Periode"), 1, A30+1))</f>
        <v>5</v>
      </c>
      <c r="B31" s="98">
        <f>IF(OR(IF($B$5=13, rekenwaarden!D19, rekenwaarden!I19)&lt;$B$6,IF($B$5=13, rekenwaarden!C19, rekenwaarden!H19)&gt;$B$7),"",IF(A31="", "", IF($B$5=13, rekenwaarden!C19, rekenwaarden!H19)))</f>
        <v>46874</v>
      </c>
      <c r="C31" s="99">
        <f>IF(B31="", "", IF($B$5=13, rekenwaarden!D19, rekenwaarden!I19))</f>
        <v>46904</v>
      </c>
      <c r="D31" s="100">
        <v>25000</v>
      </c>
      <c r="E31" s="100">
        <v>1250</v>
      </c>
      <c r="F31" s="198">
        <v>173.33</v>
      </c>
      <c r="G31" s="66">
        <v>0</v>
      </c>
      <c r="H31" s="66" t="s">
        <v>125</v>
      </c>
      <c r="I31" s="66">
        <v>40</v>
      </c>
      <c r="J31" s="66" t="s">
        <v>125</v>
      </c>
      <c r="K31" s="66">
        <v>0</v>
      </c>
      <c r="L31" s="101">
        <v>40</v>
      </c>
      <c r="M31" s="98">
        <f t="shared" si="0"/>
        <v>46874</v>
      </c>
      <c r="N31" s="98">
        <f t="shared" si="1"/>
        <v>46904</v>
      </c>
      <c r="O31" s="97">
        <f t="shared" si="14"/>
        <v>31</v>
      </c>
      <c r="P31" s="102">
        <f t="shared" si="2"/>
        <v>1</v>
      </c>
      <c r="Q31" s="103">
        <f t="shared" si="15"/>
        <v>8.3333333333333329E-2</v>
      </c>
      <c r="R31" s="104">
        <f t="shared" si="16"/>
        <v>173.33</v>
      </c>
      <c r="S31" s="105">
        <f t="shared" si="17"/>
        <v>173.33</v>
      </c>
      <c r="T31" s="106" t="b">
        <f t="shared" si="3"/>
        <v>1</v>
      </c>
      <c r="U31" s="107">
        <f t="shared" si="18"/>
        <v>1</v>
      </c>
      <c r="V31" s="164">
        <f t="shared" si="19"/>
        <v>0</v>
      </c>
      <c r="W31" s="108">
        <f t="shared" si="20"/>
        <v>15000</v>
      </c>
      <c r="X31" s="170">
        <f t="shared" si="21"/>
        <v>40000</v>
      </c>
      <c r="Y31" s="170">
        <f t="shared" si="28"/>
        <v>19172</v>
      </c>
      <c r="Z31" s="170">
        <f t="shared" si="32"/>
        <v>110000</v>
      </c>
      <c r="AA31" s="200">
        <f t="shared" si="29"/>
        <v>137800</v>
      </c>
      <c r="AB31" s="210">
        <f t="shared" si="22"/>
        <v>20828</v>
      </c>
      <c r="AC31" s="110">
        <f t="shared" si="7"/>
        <v>1735.6666666666665</v>
      </c>
      <c r="AD31" s="200">
        <f t="shared" si="23"/>
        <v>0</v>
      </c>
      <c r="AE31" s="110">
        <f t="shared" si="30"/>
        <v>485.6395333333333</v>
      </c>
      <c r="AF31" s="168">
        <f t="shared" si="31"/>
        <v>0</v>
      </c>
      <c r="AG31" s="211">
        <f t="shared" si="24"/>
        <v>485.6395333333333</v>
      </c>
      <c r="AH31" s="168">
        <f t="shared" si="10"/>
        <v>0</v>
      </c>
      <c r="AI31" s="109">
        <f t="shared" si="11"/>
        <v>0</v>
      </c>
      <c r="AJ31" s="109">
        <f t="shared" si="33"/>
        <v>0</v>
      </c>
      <c r="AK31" s="110">
        <v>18000</v>
      </c>
      <c r="AL31" s="109">
        <f>AK31/1000*VLOOKUP(leeftijd_deelnemer+1,'premie ANW-hiaat'!A$2:C$54,2,0)*VLOOKUP(leeftijd_partner+1,'premie ANW-hiaat'!A$2:C$54,3,0)*Q31</f>
        <v>36.012555000000006</v>
      </c>
      <c r="AM31" s="210">
        <f t="shared" si="12"/>
        <v>485.6395333333333</v>
      </c>
      <c r="AN31" s="200">
        <f t="shared" si="13"/>
        <v>0</v>
      </c>
      <c r="AO31" s="168">
        <f t="shared" si="26"/>
        <v>36.012555000000006</v>
      </c>
      <c r="AP31" s="222">
        <f t="shared" si="27"/>
        <v>521.65208833333327</v>
      </c>
      <c r="AQ31" s="219"/>
    </row>
    <row r="32" spans="1:43" s="33" customFormat="1" ht="12.75" x14ac:dyDescent="0.2">
      <c r="A32" s="97">
        <f>IF(AND($B$5=12, COUNTIF($A$14:A31, 12)&gt;1), "",IF(OR(AND($B$5=12, A31=12),AND($B$5=13, A31=13), A31 = "Periode"), 1, A31+1))</f>
        <v>6</v>
      </c>
      <c r="B32" s="98">
        <f>IF(OR(IF($B$5=13, rekenwaarden!D20, rekenwaarden!I20)&lt;$B$6,IF($B$5=13, rekenwaarden!C20, rekenwaarden!H20)&gt;$B$7),"",IF(A32="", "", IF($B$5=13, rekenwaarden!C20, rekenwaarden!H20)))</f>
        <v>46905</v>
      </c>
      <c r="C32" s="99">
        <f>IF(B32="", "", IF($B$5=13, rekenwaarden!D20, rekenwaarden!I20))</f>
        <v>46934</v>
      </c>
      <c r="D32" s="100">
        <v>25000</v>
      </c>
      <c r="E32" s="100">
        <v>3750</v>
      </c>
      <c r="F32" s="198">
        <v>173.33</v>
      </c>
      <c r="G32" s="66">
        <v>0</v>
      </c>
      <c r="H32" s="66" t="s">
        <v>125</v>
      </c>
      <c r="I32" s="66">
        <v>0</v>
      </c>
      <c r="J32" s="66" t="s">
        <v>125</v>
      </c>
      <c r="K32" s="66">
        <v>0</v>
      </c>
      <c r="L32" s="101">
        <v>40</v>
      </c>
      <c r="M32" s="98">
        <f t="shared" si="0"/>
        <v>46905</v>
      </c>
      <c r="N32" s="98">
        <f t="shared" si="1"/>
        <v>46934</v>
      </c>
      <c r="O32" s="97">
        <f t="shared" si="14"/>
        <v>30</v>
      </c>
      <c r="P32" s="102">
        <f t="shared" si="2"/>
        <v>1</v>
      </c>
      <c r="Q32" s="103">
        <f t="shared" si="15"/>
        <v>8.3333333333333329E-2</v>
      </c>
      <c r="R32" s="104">
        <f t="shared" si="16"/>
        <v>173.33</v>
      </c>
      <c r="S32" s="105">
        <f t="shared" si="17"/>
        <v>173.33</v>
      </c>
      <c r="T32" s="106" t="b">
        <f t="shared" si="3"/>
        <v>1</v>
      </c>
      <c r="U32" s="107">
        <f t="shared" si="18"/>
        <v>1</v>
      </c>
      <c r="V32" s="164">
        <f t="shared" si="19"/>
        <v>0</v>
      </c>
      <c r="W32" s="108">
        <f>(E32/U32)/Q32</f>
        <v>45000</v>
      </c>
      <c r="X32" s="170">
        <f t="shared" si="21"/>
        <v>70000</v>
      </c>
      <c r="Y32" s="170">
        <f t="shared" si="28"/>
        <v>19172</v>
      </c>
      <c r="Z32" s="170">
        <f t="shared" si="32"/>
        <v>137800</v>
      </c>
      <c r="AA32" s="200">
        <f t="shared" si="29"/>
        <v>137800</v>
      </c>
      <c r="AB32" s="210">
        <f t="shared" si="22"/>
        <v>50828</v>
      </c>
      <c r="AC32" s="110">
        <f t="shared" si="7"/>
        <v>4235.6666666666661</v>
      </c>
      <c r="AD32" s="200">
        <f t="shared" si="23"/>
        <v>0</v>
      </c>
      <c r="AE32" s="110">
        <f t="shared" si="30"/>
        <v>1185.1395333333332</v>
      </c>
      <c r="AF32" s="168">
        <f t="shared" si="31"/>
        <v>0</v>
      </c>
      <c r="AG32" s="211">
        <f t="shared" si="24"/>
        <v>1185.1395333333332</v>
      </c>
      <c r="AH32" s="168">
        <f t="shared" si="10"/>
        <v>0</v>
      </c>
      <c r="AI32" s="109">
        <f t="shared" si="11"/>
        <v>0</v>
      </c>
      <c r="AJ32" s="109">
        <f t="shared" si="33"/>
        <v>0</v>
      </c>
      <c r="AK32" s="110">
        <v>18000</v>
      </c>
      <c r="AL32" s="109">
        <f>AK32/1000*VLOOKUP(leeftijd_deelnemer+1,'premie ANW-hiaat'!A$2:C$54,2,0)*VLOOKUP(leeftijd_partner+1,'premie ANW-hiaat'!A$2:C$54,3,0)*Q32</f>
        <v>36.012555000000006</v>
      </c>
      <c r="AM32" s="210">
        <f t="shared" si="12"/>
        <v>1185.1395333333332</v>
      </c>
      <c r="AN32" s="200">
        <f t="shared" si="13"/>
        <v>0</v>
      </c>
      <c r="AO32" s="168">
        <f t="shared" si="26"/>
        <v>36.012555000000006</v>
      </c>
      <c r="AP32" s="222">
        <f>SUM(AM32:AO32)</f>
        <v>1221.1520883333333</v>
      </c>
      <c r="AQ32" s="219"/>
    </row>
    <row r="33" spans="1:43" s="33" customFormat="1" ht="12.75" x14ac:dyDescent="0.2">
      <c r="A33" s="97">
        <f>IF(AND($B$5=12, COUNTIF($A$14:A32, 12)&gt;1), "",IF(OR(AND($B$5=12, A32=12),AND($B$5=13, A32=13), A32 = "Periode"), 1, A32+1))</f>
        <v>7</v>
      </c>
      <c r="B33" s="98">
        <f>IF(OR(IF($B$5=13, rekenwaarden!D21, rekenwaarden!I21)&lt;$B$6,IF($B$5=13, rekenwaarden!C21, rekenwaarden!H21)&gt;$B$7),"",IF(A33="", "", IF($B$5=13, rekenwaarden!C21, rekenwaarden!H21)))</f>
        <v>46935</v>
      </c>
      <c r="C33" s="99">
        <f>IF(B33="", "", IF($B$5=13, rekenwaarden!D21, rekenwaarden!I21))</f>
        <v>46965</v>
      </c>
      <c r="D33" s="100">
        <v>25000</v>
      </c>
      <c r="E33" s="100">
        <v>3750</v>
      </c>
      <c r="F33" s="198">
        <v>173.33</v>
      </c>
      <c r="G33" s="66">
        <v>0</v>
      </c>
      <c r="H33" s="66" t="s">
        <v>125</v>
      </c>
      <c r="I33" s="66">
        <v>0</v>
      </c>
      <c r="J33" s="66" t="s">
        <v>125</v>
      </c>
      <c r="K33" s="66">
        <v>0</v>
      </c>
      <c r="L33" s="101">
        <v>40</v>
      </c>
      <c r="M33" s="98">
        <f t="shared" si="0"/>
        <v>46935</v>
      </c>
      <c r="N33" s="98">
        <f t="shared" si="1"/>
        <v>46965</v>
      </c>
      <c r="O33" s="97">
        <f t="shared" si="14"/>
        <v>31</v>
      </c>
      <c r="P33" s="102">
        <f t="shared" si="2"/>
        <v>1</v>
      </c>
      <c r="Q33" s="103">
        <f t="shared" si="15"/>
        <v>8.3333333333333329E-2</v>
      </c>
      <c r="R33" s="104">
        <f t="shared" si="16"/>
        <v>173.33</v>
      </c>
      <c r="S33" s="105">
        <f t="shared" si="17"/>
        <v>173.33</v>
      </c>
      <c r="T33" s="106" t="b">
        <f t="shared" si="3"/>
        <v>1</v>
      </c>
      <c r="U33" s="107">
        <f t="shared" si="18"/>
        <v>1</v>
      </c>
      <c r="V33" s="164">
        <f t="shared" si="19"/>
        <v>0</v>
      </c>
      <c r="W33" s="108">
        <f t="shared" si="20"/>
        <v>45000</v>
      </c>
      <c r="X33" s="170">
        <f t="shared" si="21"/>
        <v>70000</v>
      </c>
      <c r="Y33" s="170">
        <f t="shared" si="28"/>
        <v>19172</v>
      </c>
      <c r="Z33" s="170">
        <f t="shared" si="32"/>
        <v>137800</v>
      </c>
      <c r="AA33" s="200">
        <f t="shared" si="29"/>
        <v>137800</v>
      </c>
      <c r="AB33" s="210">
        <f t="shared" si="22"/>
        <v>50828</v>
      </c>
      <c r="AC33" s="110">
        <f t="shared" si="7"/>
        <v>4235.6666666666661</v>
      </c>
      <c r="AD33" s="200">
        <f t="shared" si="23"/>
        <v>0</v>
      </c>
      <c r="AE33" s="110">
        <f t="shared" si="30"/>
        <v>1185.1395333333332</v>
      </c>
      <c r="AF33" s="168">
        <f t="shared" si="31"/>
        <v>0</v>
      </c>
      <c r="AG33" s="211">
        <f t="shared" si="24"/>
        <v>1185.1395333333332</v>
      </c>
      <c r="AH33" s="168">
        <f t="shared" si="10"/>
        <v>0</v>
      </c>
      <c r="AI33" s="109">
        <f t="shared" si="11"/>
        <v>0</v>
      </c>
      <c r="AJ33" s="109">
        <f t="shared" si="33"/>
        <v>0</v>
      </c>
      <c r="AK33" s="110">
        <v>18000</v>
      </c>
      <c r="AL33" s="109">
        <f>AK33/1000*VLOOKUP(leeftijd_deelnemer+1,'premie ANW-hiaat'!A$2:C$54,2,0)*VLOOKUP(leeftijd_partner+1,'premie ANW-hiaat'!A$2:C$54,3,0)*Q33</f>
        <v>36.012555000000006</v>
      </c>
      <c r="AM33" s="210">
        <f t="shared" si="12"/>
        <v>1185.1395333333332</v>
      </c>
      <c r="AN33" s="200">
        <f t="shared" si="13"/>
        <v>0</v>
      </c>
      <c r="AO33" s="168">
        <f t="shared" si="26"/>
        <v>36.012555000000006</v>
      </c>
      <c r="AP33" s="222">
        <f t="shared" si="27"/>
        <v>1221.1520883333333</v>
      </c>
      <c r="AQ33" s="219"/>
    </row>
    <row r="34" spans="1:43" s="33" customFormat="1" ht="12.75" x14ac:dyDescent="0.2">
      <c r="A34" s="97">
        <f>IF(AND($B$5=12, COUNTIF($A$14:A33, 12)&gt;1), "",IF(OR(AND($B$5=12, A33=12),AND($B$5=13, A33=13), A33 = "Periode"), 1, A33+1))</f>
        <v>8</v>
      </c>
      <c r="B34" s="98">
        <f>IF(OR(IF($B$5=13, rekenwaarden!D22, rekenwaarden!I22)&lt;$B$6,IF($B$5=13, rekenwaarden!C22, rekenwaarden!H22)&gt;$B$7),"",IF(A34="", "", IF($B$5=13, rekenwaarden!C22, rekenwaarden!H22)))</f>
        <v>46966</v>
      </c>
      <c r="C34" s="99">
        <f>IF(B34="", "", IF($B$5=13, rekenwaarden!D22, rekenwaarden!I22))</f>
        <v>46996</v>
      </c>
      <c r="D34" s="100">
        <v>25000</v>
      </c>
      <c r="E34" s="100">
        <v>250</v>
      </c>
      <c r="F34" s="198">
        <v>173.33</v>
      </c>
      <c r="G34" s="66">
        <v>0</v>
      </c>
      <c r="H34" s="66" t="s">
        <v>125</v>
      </c>
      <c r="I34" s="66">
        <v>0</v>
      </c>
      <c r="J34" s="66" t="s">
        <v>125</v>
      </c>
      <c r="K34" s="66">
        <v>0</v>
      </c>
      <c r="L34" s="101">
        <v>40</v>
      </c>
      <c r="M34" s="98">
        <f t="shared" si="0"/>
        <v>46966</v>
      </c>
      <c r="N34" s="98">
        <f t="shared" si="1"/>
        <v>46996</v>
      </c>
      <c r="O34" s="97">
        <f t="shared" si="14"/>
        <v>31</v>
      </c>
      <c r="P34" s="102">
        <f t="shared" si="2"/>
        <v>1</v>
      </c>
      <c r="Q34" s="103">
        <f t="shared" si="15"/>
        <v>8.3333333333333329E-2</v>
      </c>
      <c r="R34" s="104">
        <f t="shared" si="16"/>
        <v>173.33</v>
      </c>
      <c r="S34" s="105">
        <f t="shared" si="17"/>
        <v>173.33</v>
      </c>
      <c r="T34" s="106" t="b">
        <f t="shared" si="3"/>
        <v>1</v>
      </c>
      <c r="U34" s="107">
        <f t="shared" si="18"/>
        <v>1</v>
      </c>
      <c r="V34" s="164">
        <f t="shared" si="19"/>
        <v>0</v>
      </c>
      <c r="W34" s="108">
        <f t="shared" si="20"/>
        <v>3000</v>
      </c>
      <c r="X34" s="170">
        <f t="shared" si="21"/>
        <v>28000</v>
      </c>
      <c r="Y34" s="170">
        <f t="shared" si="28"/>
        <v>19172</v>
      </c>
      <c r="Z34" s="170">
        <f t="shared" si="32"/>
        <v>98000</v>
      </c>
      <c r="AA34" s="200">
        <f t="shared" si="29"/>
        <v>137800</v>
      </c>
      <c r="AB34" s="210">
        <f t="shared" si="22"/>
        <v>8828</v>
      </c>
      <c r="AC34" s="110">
        <f t="shared" si="7"/>
        <v>735.66666666666663</v>
      </c>
      <c r="AD34" s="200">
        <f t="shared" si="23"/>
        <v>0</v>
      </c>
      <c r="AE34" s="110">
        <f t="shared" si="30"/>
        <v>205.83953333333332</v>
      </c>
      <c r="AF34" s="168">
        <f t="shared" si="31"/>
        <v>0</v>
      </c>
      <c r="AG34" s="211">
        <f t="shared" si="24"/>
        <v>205.83953333333332</v>
      </c>
      <c r="AH34" s="168">
        <f t="shared" si="10"/>
        <v>0</v>
      </c>
      <c r="AI34" s="109">
        <f t="shared" si="11"/>
        <v>0</v>
      </c>
      <c r="AJ34" s="109">
        <f t="shared" si="33"/>
        <v>0</v>
      </c>
      <c r="AK34" s="110">
        <v>18000</v>
      </c>
      <c r="AL34" s="109">
        <f>AK34/1000*VLOOKUP(leeftijd_deelnemer+1,'premie ANW-hiaat'!A$2:C$54,2,0)*VLOOKUP(leeftijd_partner+1,'premie ANW-hiaat'!A$2:C$54,3,0)*Q34</f>
        <v>36.012555000000006</v>
      </c>
      <c r="AM34" s="210">
        <f t="shared" si="12"/>
        <v>205.83953333333332</v>
      </c>
      <c r="AN34" s="200">
        <f t="shared" si="13"/>
        <v>0</v>
      </c>
      <c r="AO34" s="168">
        <f t="shared" si="26"/>
        <v>36.012555000000006</v>
      </c>
      <c r="AP34" s="222">
        <f t="shared" si="27"/>
        <v>241.85208833333331</v>
      </c>
      <c r="AQ34" s="219"/>
    </row>
    <row r="35" spans="1:43" s="38" customFormat="1" ht="12.75" x14ac:dyDescent="0.2">
      <c r="A35" s="97">
        <f>IF(AND($B$5=12, COUNTIF($A$14:A34, 12)&gt;1), "",IF(OR(AND($B$5=12, A34=12),AND($B$5=13, A34=13), A34 = "Periode"), 1, A34+1))</f>
        <v>9</v>
      </c>
      <c r="B35" s="98">
        <f>IF(OR(IF($B$5=13, rekenwaarden!D23, rekenwaarden!I23)&lt;$B$6,IF($B$5=13, rekenwaarden!C23, rekenwaarden!H23)&gt;$B$7),"",IF(A35="", "", IF($B$5=13, rekenwaarden!C23, rekenwaarden!H23)))</f>
        <v>46997</v>
      </c>
      <c r="C35" s="99">
        <f>IF(B35="", "", IF($B$5=13, rekenwaarden!D23, rekenwaarden!I23))</f>
        <v>47026</v>
      </c>
      <c r="D35" s="100">
        <v>25000</v>
      </c>
      <c r="E35" s="100">
        <v>250</v>
      </c>
      <c r="F35" s="198">
        <v>173.33</v>
      </c>
      <c r="G35" s="66">
        <v>0</v>
      </c>
      <c r="H35" s="66" t="s">
        <v>125</v>
      </c>
      <c r="I35" s="66">
        <v>0</v>
      </c>
      <c r="J35" s="66" t="s">
        <v>125</v>
      </c>
      <c r="K35" s="66">
        <v>0</v>
      </c>
      <c r="L35" s="101">
        <v>40</v>
      </c>
      <c r="M35" s="98">
        <f t="shared" si="0"/>
        <v>46997</v>
      </c>
      <c r="N35" s="98">
        <f t="shared" si="1"/>
        <v>47026</v>
      </c>
      <c r="O35" s="97">
        <f t="shared" si="14"/>
        <v>30</v>
      </c>
      <c r="P35" s="127">
        <f t="shared" si="2"/>
        <v>1</v>
      </c>
      <c r="Q35" s="103">
        <f t="shared" si="15"/>
        <v>8.3333333333333329E-2</v>
      </c>
      <c r="R35" s="104">
        <f t="shared" si="16"/>
        <v>173.33</v>
      </c>
      <c r="S35" s="105">
        <f t="shared" si="17"/>
        <v>173.33</v>
      </c>
      <c r="T35" s="106" t="b">
        <f t="shared" si="3"/>
        <v>1</v>
      </c>
      <c r="U35" s="107">
        <f t="shared" si="18"/>
        <v>1</v>
      </c>
      <c r="V35" s="164">
        <f t="shared" si="19"/>
        <v>0</v>
      </c>
      <c r="W35" s="108">
        <f t="shared" si="20"/>
        <v>3000</v>
      </c>
      <c r="X35" s="170">
        <f t="shared" si="21"/>
        <v>28000</v>
      </c>
      <c r="Y35" s="170">
        <f t="shared" si="28"/>
        <v>19172</v>
      </c>
      <c r="Z35" s="170">
        <f t="shared" si="32"/>
        <v>98000</v>
      </c>
      <c r="AA35" s="200">
        <f t="shared" si="29"/>
        <v>137800</v>
      </c>
      <c r="AB35" s="210">
        <f t="shared" si="22"/>
        <v>8828</v>
      </c>
      <c r="AC35" s="110">
        <f t="shared" si="7"/>
        <v>735.66666666666663</v>
      </c>
      <c r="AD35" s="200">
        <f t="shared" si="23"/>
        <v>0</v>
      </c>
      <c r="AE35" s="110">
        <f t="shared" si="30"/>
        <v>205.83953333333332</v>
      </c>
      <c r="AF35" s="168">
        <f t="shared" si="31"/>
        <v>0</v>
      </c>
      <c r="AG35" s="211">
        <f t="shared" si="24"/>
        <v>205.83953333333332</v>
      </c>
      <c r="AH35" s="168">
        <f t="shared" si="10"/>
        <v>0</v>
      </c>
      <c r="AI35" s="109">
        <f t="shared" si="11"/>
        <v>0</v>
      </c>
      <c r="AJ35" s="109">
        <f t="shared" si="33"/>
        <v>0</v>
      </c>
      <c r="AK35" s="110">
        <v>18000</v>
      </c>
      <c r="AL35" s="109">
        <f>AK35/1000*VLOOKUP(leeftijd_deelnemer+1,'premie ANW-hiaat'!A$2:C$54,2,0)*VLOOKUP(leeftijd_partner+1,'premie ANW-hiaat'!A$2:C$54,3,0)*Q35</f>
        <v>36.012555000000006</v>
      </c>
      <c r="AM35" s="210">
        <f t="shared" si="12"/>
        <v>205.83953333333332</v>
      </c>
      <c r="AN35" s="200">
        <f t="shared" si="13"/>
        <v>0</v>
      </c>
      <c r="AO35" s="168">
        <f t="shared" si="26"/>
        <v>36.012555000000006</v>
      </c>
      <c r="AP35" s="222">
        <f t="shared" si="27"/>
        <v>241.85208833333331</v>
      </c>
      <c r="AQ35" s="220"/>
    </row>
    <row r="36" spans="1:43" s="38" customFormat="1" ht="12.75" x14ac:dyDescent="0.2">
      <c r="A36" s="97">
        <f>IF(AND($B$5=12, COUNTIF($A$14:A35, 12)&gt;1), "",IF(OR(AND($B$5=12, A35=12),AND($B$5=13, A35=13), A35 = "Periode"), 1, A35+1))</f>
        <v>10</v>
      </c>
      <c r="B36" s="98">
        <f>IF(OR(IF($B$5=13, rekenwaarden!D24, rekenwaarden!I24)&lt;$B$6,IF($B$5=13, rekenwaarden!C24, rekenwaarden!H24)&gt;$B$7),"",IF(A36="", "", IF($B$5=13, rekenwaarden!C24, rekenwaarden!H24)))</f>
        <v>47027</v>
      </c>
      <c r="C36" s="99">
        <f>IF(B36="", "", IF($B$5=13, rekenwaarden!D24, rekenwaarden!I24))</f>
        <v>47057</v>
      </c>
      <c r="D36" s="100">
        <v>25000</v>
      </c>
      <c r="E36" s="100">
        <v>0</v>
      </c>
      <c r="F36" s="198">
        <v>173.33</v>
      </c>
      <c r="G36" s="66">
        <v>0</v>
      </c>
      <c r="H36" s="66" t="s">
        <v>125</v>
      </c>
      <c r="I36" s="66">
        <v>0</v>
      </c>
      <c r="J36" s="66" t="s">
        <v>125</v>
      </c>
      <c r="K36" s="66">
        <v>0</v>
      </c>
      <c r="L36" s="101">
        <v>40</v>
      </c>
      <c r="M36" s="98">
        <f t="shared" si="0"/>
        <v>47027</v>
      </c>
      <c r="N36" s="98">
        <f t="shared" si="1"/>
        <v>47057</v>
      </c>
      <c r="O36" s="97">
        <f t="shared" si="14"/>
        <v>31</v>
      </c>
      <c r="P36" s="127">
        <f t="shared" si="2"/>
        <v>1</v>
      </c>
      <c r="Q36" s="103">
        <f t="shared" si="15"/>
        <v>8.3333333333333329E-2</v>
      </c>
      <c r="R36" s="104">
        <f t="shared" si="16"/>
        <v>173.33</v>
      </c>
      <c r="S36" s="105">
        <f t="shared" si="17"/>
        <v>173.33</v>
      </c>
      <c r="T36" s="106" t="b">
        <f t="shared" si="3"/>
        <v>1</v>
      </c>
      <c r="U36" s="107">
        <f t="shared" si="18"/>
        <v>1</v>
      </c>
      <c r="V36" s="164">
        <f t="shared" si="19"/>
        <v>0</v>
      </c>
      <c r="W36" s="108">
        <f t="shared" si="20"/>
        <v>0</v>
      </c>
      <c r="X36" s="170">
        <f t="shared" si="21"/>
        <v>25000</v>
      </c>
      <c r="Y36" s="170">
        <f t="shared" si="28"/>
        <v>19172</v>
      </c>
      <c r="Z36" s="170">
        <f t="shared" si="32"/>
        <v>95000</v>
      </c>
      <c r="AA36" s="200">
        <f t="shared" si="29"/>
        <v>137800</v>
      </c>
      <c r="AB36" s="210">
        <f t="shared" si="22"/>
        <v>5828</v>
      </c>
      <c r="AC36" s="110">
        <f t="shared" si="7"/>
        <v>485.66666666666663</v>
      </c>
      <c r="AD36" s="200">
        <f t="shared" si="23"/>
        <v>0</v>
      </c>
      <c r="AE36" s="110">
        <f t="shared" si="30"/>
        <v>135.88953333333333</v>
      </c>
      <c r="AF36" s="168">
        <f t="shared" si="31"/>
        <v>0</v>
      </c>
      <c r="AG36" s="211">
        <f t="shared" si="24"/>
        <v>135.88953333333333</v>
      </c>
      <c r="AH36" s="168">
        <f t="shared" si="10"/>
        <v>0</v>
      </c>
      <c r="AI36" s="109">
        <f t="shared" si="11"/>
        <v>0</v>
      </c>
      <c r="AJ36" s="109">
        <f t="shared" si="33"/>
        <v>0</v>
      </c>
      <c r="AK36" s="110">
        <v>18000</v>
      </c>
      <c r="AL36" s="109">
        <f>AK36/1000*VLOOKUP(leeftijd_deelnemer+1,'premie ANW-hiaat'!A$2:C$54,2,0)*VLOOKUP(leeftijd_partner+1,'premie ANW-hiaat'!A$2:C$54,3,0)*Q36</f>
        <v>36.012555000000006</v>
      </c>
      <c r="AM36" s="210">
        <f t="shared" si="12"/>
        <v>135.88953333333333</v>
      </c>
      <c r="AN36" s="200">
        <f t="shared" si="13"/>
        <v>0</v>
      </c>
      <c r="AO36" s="168">
        <f t="shared" si="26"/>
        <v>36.012555000000006</v>
      </c>
      <c r="AP36" s="222">
        <f t="shared" si="27"/>
        <v>171.90208833333332</v>
      </c>
      <c r="AQ36" s="220"/>
    </row>
    <row r="37" spans="1:43" s="38" customFormat="1" ht="12.75" x14ac:dyDescent="0.2">
      <c r="A37" s="97">
        <f>IF(AND($B$5=12, COUNTIF($A$14:A36, 12)&gt;1), "",IF(OR(AND($B$5=12, A36=12),AND($B$5=13, A36=13), A36 = "Periode"), 1, A36+1))</f>
        <v>11</v>
      </c>
      <c r="B37" s="98">
        <f>IF(OR(IF($B$5=13, rekenwaarden!D25, rekenwaarden!I25)&lt;$B$6,IF($B$5=13, rekenwaarden!C25, rekenwaarden!H25)&gt;$B$7),"",IF(A37="", "", IF($B$5=13, rekenwaarden!C25, rekenwaarden!H25)))</f>
        <v>47058</v>
      </c>
      <c r="C37" s="99">
        <f>IF(B37="", "", IF($B$5=13, rekenwaarden!D25, rekenwaarden!I25))</f>
        <v>47087</v>
      </c>
      <c r="D37" s="100">
        <v>25000</v>
      </c>
      <c r="E37" s="100">
        <v>0</v>
      </c>
      <c r="F37" s="198">
        <v>173.33</v>
      </c>
      <c r="G37" s="66">
        <v>0</v>
      </c>
      <c r="H37" s="66" t="s">
        <v>125</v>
      </c>
      <c r="I37" s="66">
        <v>0</v>
      </c>
      <c r="J37" s="66" t="s">
        <v>125</v>
      </c>
      <c r="K37" s="66">
        <v>0</v>
      </c>
      <c r="L37" s="101">
        <v>40</v>
      </c>
      <c r="M37" s="98">
        <f t="shared" si="0"/>
        <v>47058</v>
      </c>
      <c r="N37" s="98">
        <f t="shared" si="1"/>
        <v>47087</v>
      </c>
      <c r="O37" s="97">
        <f t="shared" si="14"/>
        <v>30</v>
      </c>
      <c r="P37" s="127">
        <f t="shared" si="2"/>
        <v>1</v>
      </c>
      <c r="Q37" s="103">
        <f t="shared" si="15"/>
        <v>8.3333333333333329E-2</v>
      </c>
      <c r="R37" s="104">
        <f t="shared" si="16"/>
        <v>173.33</v>
      </c>
      <c r="S37" s="105">
        <f t="shared" si="17"/>
        <v>173.33</v>
      </c>
      <c r="T37" s="106" t="b">
        <f t="shared" si="3"/>
        <v>1</v>
      </c>
      <c r="U37" s="107">
        <f t="shared" si="18"/>
        <v>1</v>
      </c>
      <c r="V37" s="164">
        <f t="shared" si="19"/>
        <v>0</v>
      </c>
      <c r="W37" s="108">
        <f t="shared" si="20"/>
        <v>0</v>
      </c>
      <c r="X37" s="170">
        <f t="shared" si="21"/>
        <v>25000</v>
      </c>
      <c r="Y37" s="170">
        <f t="shared" si="28"/>
        <v>19172</v>
      </c>
      <c r="Z37" s="170">
        <f t="shared" si="32"/>
        <v>95000</v>
      </c>
      <c r="AA37" s="200">
        <f t="shared" si="29"/>
        <v>137800</v>
      </c>
      <c r="AB37" s="210">
        <f t="shared" si="22"/>
        <v>5828</v>
      </c>
      <c r="AC37" s="110">
        <f t="shared" si="7"/>
        <v>485.66666666666663</v>
      </c>
      <c r="AD37" s="200">
        <f t="shared" si="23"/>
        <v>0</v>
      </c>
      <c r="AE37" s="110">
        <f t="shared" si="30"/>
        <v>135.88953333333333</v>
      </c>
      <c r="AF37" s="168">
        <f t="shared" si="31"/>
        <v>0</v>
      </c>
      <c r="AG37" s="211">
        <f t="shared" si="24"/>
        <v>135.88953333333333</v>
      </c>
      <c r="AH37" s="168">
        <f t="shared" si="10"/>
        <v>0</v>
      </c>
      <c r="AI37" s="109">
        <f t="shared" si="11"/>
        <v>0</v>
      </c>
      <c r="AJ37" s="109">
        <f t="shared" si="33"/>
        <v>0</v>
      </c>
      <c r="AK37" s="110">
        <v>18000</v>
      </c>
      <c r="AL37" s="109">
        <f>AK37/1000*VLOOKUP(leeftijd_deelnemer+1,'premie ANW-hiaat'!A$2:C$54,2,0)*VLOOKUP(leeftijd_partner+1,'premie ANW-hiaat'!A$2:C$54,3,0)*Q37</f>
        <v>36.012555000000006</v>
      </c>
      <c r="AM37" s="210">
        <f t="shared" si="12"/>
        <v>135.88953333333333</v>
      </c>
      <c r="AN37" s="200">
        <f t="shared" si="13"/>
        <v>0</v>
      </c>
      <c r="AO37" s="168">
        <f t="shared" si="26"/>
        <v>36.012555000000006</v>
      </c>
      <c r="AP37" s="222">
        <f t="shared" si="27"/>
        <v>171.90208833333332</v>
      </c>
      <c r="AQ37" s="220"/>
    </row>
    <row r="38" spans="1:43" s="39" customFormat="1" ht="13.5" thickBot="1" x14ac:dyDescent="0.25">
      <c r="A38" s="128">
        <f>IF(AND($B$5=12, COUNTIF($A$14:A37, 12)&gt;1), "",IF(OR(AND($B$5=12, A37=12),AND($B$5=13, A37=13), A37 = "Periode"), 1, A37+1))</f>
        <v>12</v>
      </c>
      <c r="B38" s="129">
        <f>IF(OR(IF($B$5=13, rekenwaarden!D26, rekenwaarden!I26)&lt;$B$6,IF($B$5=13, rekenwaarden!C26, rekenwaarden!H26)&gt;$B$7),"",IF(A38="", "", IF($B$5=13, rekenwaarden!C26, rekenwaarden!H26)))</f>
        <v>47088</v>
      </c>
      <c r="C38" s="130">
        <f>IF(B38="", "", IF($B$5=13, rekenwaarden!D26, rekenwaarden!I26))</f>
        <v>47118</v>
      </c>
      <c r="D38" s="131">
        <v>25000</v>
      </c>
      <c r="E38" s="131">
        <v>0</v>
      </c>
      <c r="F38" s="131">
        <v>173.33</v>
      </c>
      <c r="G38" s="132">
        <v>0</v>
      </c>
      <c r="H38" s="132" t="s">
        <v>125</v>
      </c>
      <c r="I38" s="132">
        <v>0</v>
      </c>
      <c r="J38" s="132" t="s">
        <v>125</v>
      </c>
      <c r="K38" s="132">
        <v>0</v>
      </c>
      <c r="L38" s="133">
        <v>40</v>
      </c>
      <c r="M38" s="129">
        <f t="shared" si="0"/>
        <v>47088</v>
      </c>
      <c r="N38" s="129">
        <f t="shared" si="1"/>
        <v>47097</v>
      </c>
      <c r="O38" s="128">
        <f t="shared" si="14"/>
        <v>10</v>
      </c>
      <c r="P38" s="134">
        <f t="shared" si="2"/>
        <v>0.32258064516129031</v>
      </c>
      <c r="Q38" s="135">
        <f t="shared" si="15"/>
        <v>2.6881720430107527E-2</v>
      </c>
      <c r="R38" s="136">
        <f t="shared" si="16"/>
        <v>55.91</v>
      </c>
      <c r="S38" s="137">
        <f t="shared" si="17"/>
        <v>55.91</v>
      </c>
      <c r="T38" s="138" t="b">
        <f t="shared" si="3"/>
        <v>1</v>
      </c>
      <c r="U38" s="139">
        <f t="shared" si="18"/>
        <v>1</v>
      </c>
      <c r="V38" s="167">
        <f t="shared" si="19"/>
        <v>0</v>
      </c>
      <c r="W38" s="140">
        <f t="shared" si="20"/>
        <v>0</v>
      </c>
      <c r="X38" s="172">
        <f t="shared" si="21"/>
        <v>25000</v>
      </c>
      <c r="Y38" s="172">
        <f t="shared" si="28"/>
        <v>19172</v>
      </c>
      <c r="Z38" s="172">
        <f t="shared" si="32"/>
        <v>95000</v>
      </c>
      <c r="AA38" s="141">
        <f t="shared" si="29"/>
        <v>137800</v>
      </c>
      <c r="AB38" s="214">
        <f t="shared" si="22"/>
        <v>5828</v>
      </c>
      <c r="AC38" s="215">
        <f t="shared" si="7"/>
        <v>156.66666666666666</v>
      </c>
      <c r="AD38" s="216">
        <f t="shared" si="23"/>
        <v>0</v>
      </c>
      <c r="AE38" s="215">
        <f t="shared" si="30"/>
        <v>43.835333333333331</v>
      </c>
      <c r="AF38" s="217">
        <f t="shared" si="31"/>
        <v>0</v>
      </c>
      <c r="AG38" s="218">
        <f t="shared" si="24"/>
        <v>43.835333333333331</v>
      </c>
      <c r="AH38" s="169">
        <f t="shared" si="10"/>
        <v>0</v>
      </c>
      <c r="AI38" s="141">
        <f t="shared" si="11"/>
        <v>0</v>
      </c>
      <c r="AJ38" s="141">
        <f t="shared" si="33"/>
        <v>0</v>
      </c>
      <c r="AK38" s="142">
        <v>18000</v>
      </c>
      <c r="AL38" s="141">
        <f>AK38/1000*VLOOKUP(leeftijd_deelnemer+1,'premie ANW-hiaat'!A$2:C$54,2,0)*VLOOKUP(leeftijd_partner+1,'premie ANW-hiaat'!A$2:C$54,3,0)*Q38</f>
        <v>11.616953225806453</v>
      </c>
      <c r="AM38" s="214">
        <f t="shared" si="12"/>
        <v>43.835333333333331</v>
      </c>
      <c r="AN38" s="216">
        <f t="shared" si="13"/>
        <v>0</v>
      </c>
      <c r="AO38" s="217">
        <f t="shared" si="26"/>
        <v>11.616953225806453</v>
      </c>
      <c r="AP38" s="224">
        <f t="shared" si="27"/>
        <v>55.452286559139786</v>
      </c>
      <c r="AQ38" s="159"/>
    </row>
    <row r="39" spans="1:43" ht="15.75" thickTop="1" x14ac:dyDescent="0.25"/>
    <row r="40" spans="1:43" x14ac:dyDescent="0.25">
      <c r="F40" s="83"/>
      <c r="AK40" s="95"/>
    </row>
    <row r="41" spans="1:43" x14ac:dyDescent="0.25">
      <c r="F41" s="182"/>
    </row>
    <row r="43" spans="1:43" x14ac:dyDescent="0.25">
      <c r="I43" s="95"/>
    </row>
  </sheetData>
  <sheetProtection formatCells="0"/>
  <protectedRanges>
    <protectedRange algorithmName="SHA-512" hashValue="XWqXE5y7ud9C/cNOMQiriu88QX5Yy1lrleFAN7oJKKkNVT+uzJ6h7KtAxzO/B3O0E+c9Y+GFFtGwYi0q+W0Ygg==" saltValue="JmBrNhhh+xIagHjXqjMNSQ==" spinCount="100000" sqref="B4:B10 D15:L38" name="Aantepassenvelden"/>
  </protectedRanges>
  <dataValidations count="3">
    <dataValidation type="list" allowBlank="1" showInputMessage="1" showErrorMessage="1" sqref="B8" xr:uid="{4C615578-C8D2-41C4-BFC7-2C86EC55E261}">
      <formula1>"WAAR, ONWAAR"</formula1>
    </dataValidation>
    <dataValidation type="list" allowBlank="1" showInputMessage="1" showErrorMessage="1" sqref="B4" xr:uid="{A1C47847-A381-44E7-A438-DA7EF7724622}">
      <formula1>"2"</formula1>
    </dataValidation>
    <dataValidation type="list" allowBlank="1" showInputMessage="1" showErrorMessage="1" sqref="B5" xr:uid="{EA7BB1C0-1E96-4B99-8DA4-772E523D567C}">
      <formula1>"12"</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B9489"/>
    <pageSetUpPr autoPageBreaks="0"/>
  </sheetPr>
  <dimension ref="A1:AP42"/>
  <sheetViews>
    <sheetView zoomScaleNormal="100" workbookViewId="0">
      <selection activeCell="AP14" sqref="B14:AP14"/>
    </sheetView>
  </sheetViews>
  <sheetFormatPr defaultColWidth="8.7109375" defaultRowHeight="15" x14ac:dyDescent="0.25"/>
  <cols>
    <col min="1" max="1" width="20.5703125" style="34" customWidth="1"/>
    <col min="2" max="2" width="13.28515625" style="34" bestFit="1" customWidth="1"/>
    <col min="3" max="3" width="11.42578125" style="34" bestFit="1" customWidth="1"/>
    <col min="4" max="4" width="13.7109375" style="34" customWidth="1"/>
    <col min="5" max="5" width="11.28515625" style="34" bestFit="1" customWidth="1"/>
    <col min="6" max="7" width="10.5703125" style="34" customWidth="1"/>
    <col min="8" max="8" width="12.7109375" style="34" customWidth="1"/>
    <col min="9" max="9" width="12.140625" style="34" customWidth="1"/>
    <col min="10" max="12" width="10.5703125" style="34" customWidth="1"/>
    <col min="13" max="13" width="11.85546875" style="34" customWidth="1"/>
    <col min="14" max="14" width="11.42578125" style="34" customWidth="1"/>
    <col min="15" max="15" width="11.28515625" style="34" customWidth="1"/>
    <col min="16" max="18" width="10.5703125" style="34" customWidth="1"/>
    <col min="19" max="19" width="14.28515625" style="34" customWidth="1"/>
    <col min="20" max="20" width="10.5703125" style="34" customWidth="1"/>
    <col min="21" max="21" width="12.7109375" style="34" bestFit="1" customWidth="1"/>
    <col min="22" max="22" width="12" style="34" customWidth="1"/>
    <col min="23" max="26" width="12.7109375" style="34" customWidth="1"/>
    <col min="27" max="27" width="12.7109375" style="34" bestFit="1" customWidth="1"/>
    <col min="28" max="28" width="13.42578125" style="34" bestFit="1" customWidth="1"/>
    <col min="29" max="29" width="15.7109375" style="34" customWidth="1"/>
    <col min="30" max="30" width="14.85546875" style="34" customWidth="1"/>
    <col min="31" max="31" width="15.28515625" style="34" customWidth="1"/>
    <col min="32" max="33" width="14.7109375" style="34" customWidth="1"/>
    <col min="34" max="34" width="15" style="34" customWidth="1"/>
    <col min="35" max="35" width="16.28515625" style="34" customWidth="1"/>
    <col min="36" max="36" width="12" style="34" customWidth="1"/>
    <col min="37" max="37" width="15.140625" style="34" customWidth="1"/>
    <col min="38" max="38" width="12.28515625" style="34" customWidth="1"/>
    <col min="39" max="39" width="12.7109375" style="34" customWidth="1"/>
    <col min="40" max="40" width="16.5703125" style="34" bestFit="1" customWidth="1"/>
    <col min="41" max="41" width="15.140625" style="34" customWidth="1"/>
    <col min="42" max="42" width="16.5703125" style="34" bestFit="1" customWidth="1"/>
    <col min="43" max="43" width="14.7109375" style="34" customWidth="1"/>
    <col min="44" max="45" width="12.42578125" style="34" bestFit="1" customWidth="1"/>
    <col min="46" max="46" width="11.5703125" style="34" bestFit="1" customWidth="1"/>
    <col min="47" max="47" width="12.42578125" style="34" bestFit="1" customWidth="1"/>
    <col min="48" max="48" width="10.7109375" style="34" customWidth="1"/>
    <col min="49" max="49" width="13.28515625" style="34" bestFit="1" customWidth="1"/>
    <col min="50" max="50" width="11.28515625" style="34" bestFit="1" customWidth="1"/>
    <col min="51" max="51" width="8.28515625" style="34" bestFit="1" customWidth="1"/>
    <col min="52" max="52" width="11.28515625" style="34" bestFit="1" customWidth="1"/>
    <col min="53" max="53" width="9" style="34" bestFit="1" customWidth="1"/>
    <col min="54" max="16384" width="8.7109375" style="34"/>
  </cols>
  <sheetData>
    <row r="1" spans="1:42" s="37" customFormat="1" ht="15.75" thickBot="1" x14ac:dyDescent="0.3"/>
    <row r="2" spans="1:42" ht="15.75" thickTop="1" x14ac:dyDescent="0.25">
      <c r="G2" s="43"/>
    </row>
    <row r="3" spans="1:42" x14ac:dyDescent="0.25">
      <c r="A3" s="31" t="s">
        <v>3</v>
      </c>
      <c r="B3" s="51" t="s">
        <v>79</v>
      </c>
      <c r="G3" s="44"/>
      <c r="H3" s="40" t="str">
        <f>IF(AND(H4="", H5=""), "", "Fout sheet:")</f>
        <v/>
      </c>
      <c r="I3" s="40"/>
      <c r="J3" s="40"/>
      <c r="K3" s="40"/>
      <c r="L3" s="40"/>
      <c r="M3" s="40"/>
      <c r="N3" s="40"/>
    </row>
    <row r="4" spans="1:42" x14ac:dyDescent="0.25">
      <c r="A4" s="32" t="s">
        <v>5</v>
      </c>
      <c r="B4" s="96">
        <v>2</v>
      </c>
      <c r="C4" s="36" t="s">
        <v>80</v>
      </c>
      <c r="D4" s="35" t="s">
        <v>6</v>
      </c>
      <c r="G4" s="44"/>
      <c r="H4" s="42" t="str">
        <f>IF(AND($T$15:$T$40),"",  "Gegevens komen niet overeen met dienstverbandlengte. Input wijzigen of ingang/einde dienstverband verplaatsen")</f>
        <v/>
      </c>
      <c r="I4" s="42"/>
      <c r="J4" s="42"/>
      <c r="K4" s="42"/>
      <c r="L4" s="42"/>
      <c r="M4" s="42"/>
      <c r="N4" s="42"/>
    </row>
    <row r="5" spans="1:42" x14ac:dyDescent="0.25">
      <c r="A5" s="31" t="s">
        <v>7</v>
      </c>
      <c r="B5" s="96">
        <v>13</v>
      </c>
      <c r="C5" s="36" t="s">
        <v>80</v>
      </c>
      <c r="D5" s="35" t="s">
        <v>8</v>
      </c>
      <c r="G5" s="44"/>
      <c r="H5" s="42" t="str">
        <f>IF(B6&lt;=B7,"",  "Ingang dienstverband kan niet voor einddatum dienstverband liggen")</f>
        <v/>
      </c>
      <c r="I5" s="42"/>
      <c r="J5" s="42"/>
      <c r="K5" s="42"/>
      <c r="L5" s="42"/>
      <c r="M5" s="42"/>
      <c r="N5" s="42"/>
    </row>
    <row r="6" spans="1:42" x14ac:dyDescent="0.25">
      <c r="A6" s="31" t="s">
        <v>9</v>
      </c>
      <c r="B6" s="52">
        <v>46402</v>
      </c>
      <c r="G6" s="44"/>
    </row>
    <row r="7" spans="1:42" x14ac:dyDescent="0.25">
      <c r="A7" s="31" t="s">
        <v>11</v>
      </c>
      <c r="B7" s="52">
        <v>47097</v>
      </c>
      <c r="G7" s="44"/>
    </row>
    <row r="8" spans="1:42" x14ac:dyDescent="0.25">
      <c r="A8" s="31" t="s">
        <v>13</v>
      </c>
      <c r="B8" s="52" t="b">
        <v>1</v>
      </c>
      <c r="D8" s="48"/>
      <c r="E8" s="49" t="s">
        <v>81</v>
      </c>
      <c r="F8" s="34" t="s">
        <v>82</v>
      </c>
      <c r="G8" s="44"/>
    </row>
    <row r="9" spans="1:42" x14ac:dyDescent="0.25">
      <c r="A9" s="31" t="s">
        <v>15</v>
      </c>
      <c r="B9" s="81">
        <v>51</v>
      </c>
      <c r="D9" s="49"/>
      <c r="E9" s="49"/>
      <c r="G9" s="44"/>
    </row>
    <row r="10" spans="1:42" x14ac:dyDescent="0.25">
      <c r="A10" s="31" t="s">
        <v>17</v>
      </c>
      <c r="B10" s="81">
        <v>44</v>
      </c>
      <c r="D10" s="49"/>
      <c r="E10" s="49"/>
      <c r="G10" s="44"/>
    </row>
    <row r="11" spans="1:42" s="37" customFormat="1" ht="15.75" thickBot="1" x14ac:dyDescent="0.3">
      <c r="G11" s="45"/>
    </row>
    <row r="12" spans="1:42" ht="15.75" thickTop="1" x14ac:dyDescent="0.25">
      <c r="D12" s="34" t="s">
        <v>83</v>
      </c>
      <c r="M12" s="34" t="s">
        <v>84</v>
      </c>
      <c r="U12" s="34" t="s">
        <v>194</v>
      </c>
      <c r="AB12" s="40" t="s">
        <v>63</v>
      </c>
      <c r="AC12" s="65" t="s">
        <v>85</v>
      </c>
      <c r="AD12" s="34" t="s">
        <v>86</v>
      </c>
      <c r="AG12" s="43"/>
      <c r="AH12" s="40" t="s">
        <v>13</v>
      </c>
      <c r="AJ12" s="43" t="s">
        <v>87</v>
      </c>
      <c r="AK12" s="40" t="s">
        <v>65</v>
      </c>
      <c r="AM12" s="179" t="s">
        <v>70</v>
      </c>
      <c r="AO12" s="177"/>
    </row>
    <row r="13" spans="1:42" s="65" customFormat="1" ht="11.25" x14ac:dyDescent="0.2">
      <c r="D13" s="65" t="s">
        <v>88</v>
      </c>
      <c r="E13" s="65" t="s">
        <v>89</v>
      </c>
      <c r="G13" s="65" t="s">
        <v>90</v>
      </c>
      <c r="I13" s="65" t="s">
        <v>91</v>
      </c>
      <c r="K13" s="65" t="s">
        <v>92</v>
      </c>
      <c r="L13" s="65" t="s">
        <v>93</v>
      </c>
      <c r="U13" s="65" t="s">
        <v>94</v>
      </c>
      <c r="AG13" s="178"/>
      <c r="AJ13" s="178"/>
      <c r="AL13" s="178"/>
      <c r="AO13" s="176"/>
    </row>
    <row r="14" spans="1:42" s="55" customFormat="1" ht="63.75" x14ac:dyDescent="0.2">
      <c r="A14" s="64" t="s">
        <v>95</v>
      </c>
      <c r="B14" s="55" t="s">
        <v>96</v>
      </c>
      <c r="C14" s="56" t="s">
        <v>97</v>
      </c>
      <c r="D14" s="55" t="s">
        <v>98</v>
      </c>
      <c r="E14" s="55" t="s">
        <v>99</v>
      </c>
      <c r="F14" s="55" t="s">
        <v>100</v>
      </c>
      <c r="G14" s="55" t="s">
        <v>101</v>
      </c>
      <c r="H14" s="55" t="s">
        <v>180</v>
      </c>
      <c r="I14" s="55" t="s">
        <v>181</v>
      </c>
      <c r="J14" s="55" t="s">
        <v>104</v>
      </c>
      <c r="K14" s="55" t="s">
        <v>105</v>
      </c>
      <c r="L14" s="56" t="s">
        <v>106</v>
      </c>
      <c r="M14" s="55" t="s">
        <v>107</v>
      </c>
      <c r="N14" s="55" t="s">
        <v>97</v>
      </c>
      <c r="O14" s="55" t="s">
        <v>108</v>
      </c>
      <c r="P14" s="55" t="s">
        <v>109</v>
      </c>
      <c r="Q14" s="55" t="s">
        <v>110</v>
      </c>
      <c r="R14" s="55" t="s">
        <v>111</v>
      </c>
      <c r="S14" s="56" t="s">
        <v>112</v>
      </c>
      <c r="T14" s="57" t="s">
        <v>113</v>
      </c>
      <c r="U14" s="55" t="s">
        <v>182</v>
      </c>
      <c r="V14" s="56" t="s">
        <v>114</v>
      </c>
      <c r="W14" s="62" t="s">
        <v>186</v>
      </c>
      <c r="X14" s="55" t="s">
        <v>189</v>
      </c>
      <c r="Y14" s="55" t="s">
        <v>190</v>
      </c>
      <c r="Z14" s="55" t="s">
        <v>191</v>
      </c>
      <c r="AA14" s="56" t="s">
        <v>192</v>
      </c>
      <c r="AB14" s="55" t="s">
        <v>187</v>
      </c>
      <c r="AC14" s="62" t="s">
        <v>185</v>
      </c>
      <c r="AD14" s="55" t="s">
        <v>115</v>
      </c>
      <c r="AE14" s="62" t="s">
        <v>183</v>
      </c>
      <c r="AF14" s="56" t="s">
        <v>184</v>
      </c>
      <c r="AG14" s="56" t="s">
        <v>116</v>
      </c>
      <c r="AH14" s="57" t="s">
        <v>117</v>
      </c>
      <c r="AI14" s="55" t="s">
        <v>118</v>
      </c>
      <c r="AJ14" s="55" t="s">
        <v>119</v>
      </c>
      <c r="AK14" s="62" t="s">
        <v>120</v>
      </c>
      <c r="AL14" s="55" t="s">
        <v>121</v>
      </c>
      <c r="AM14" s="62" t="s">
        <v>122</v>
      </c>
      <c r="AN14" s="55" t="s">
        <v>179</v>
      </c>
      <c r="AO14" s="56" t="s">
        <v>123</v>
      </c>
      <c r="AP14" s="55" t="s">
        <v>124</v>
      </c>
    </row>
    <row r="15" spans="1:42" s="33" customFormat="1" ht="12.75" x14ac:dyDescent="0.2">
      <c r="A15" s="97">
        <f>IF(AND($B$5=12, COUNTIF($A$14:A14, 12)&gt;1), "",IF(OR(AND($B$5=12, A14=12),AND($B$5=13, A14=13), A14 = "Periode"), 1, A14+1))</f>
        <v>1</v>
      </c>
      <c r="B15" s="98">
        <f>IF(OR(IF($B$5=13, rekenwaarden!D3, rekenwaarden!I3)&lt;$B$6,IF($B$5=13, rekenwaarden!C3, rekenwaarden!H3)&gt;$B$7),"",IF(A15="", "", IF($B$5=13, rekenwaarden!C3, rekenwaarden!H3)))</f>
        <v>46388</v>
      </c>
      <c r="C15" s="99">
        <f>IF(B15="", "", IF($B$5=13, rekenwaarden!D3, rekenwaarden!I3))</f>
        <v>46418</v>
      </c>
      <c r="D15" s="100">
        <v>120000</v>
      </c>
      <c r="E15" s="100">
        <v>1200</v>
      </c>
      <c r="F15" s="66">
        <v>60</v>
      </c>
      <c r="G15" s="66">
        <v>0</v>
      </c>
      <c r="H15" s="66" t="s">
        <v>125</v>
      </c>
      <c r="I15" s="66">
        <v>0</v>
      </c>
      <c r="J15" s="66" t="s">
        <v>125</v>
      </c>
      <c r="K15" s="66">
        <v>0</v>
      </c>
      <c r="L15" s="101">
        <v>40</v>
      </c>
      <c r="M15" s="98">
        <f t="shared" ref="M15:M40" si="0">IF(OR(MAX($B$6, B15)&gt;C15, MIN($B$7, C15)&lt;B15),"", MAX($B$6, B15))</f>
        <v>46402</v>
      </c>
      <c r="N15" s="98">
        <f t="shared" ref="N15:N40" si="1">IF(OR(MAX($B$6, B15)&gt;C15, MIN($B$7, C15)&lt;B15),"", MIN($B$7, C15))</f>
        <v>46418</v>
      </c>
      <c r="O15" s="97">
        <f>IF(M15="","",IF($B$4=2,N15-M15+1,NETWORKDAYS(M15, N15)))</f>
        <v>17</v>
      </c>
      <c r="P15" s="102">
        <f t="shared" ref="P15:P40" si="2">IF(M15="", "",  O15 / IF($B$4=2,(C15-B15+1), NETWORKDAYS(B15,C15)))</f>
        <v>0.54838709677419351</v>
      </c>
      <c r="Q15" s="103">
        <f>IF(M15="","",
IF($B$4=2,P15/$B$5,
IF($B$4=1,(O15/NETWORKDAYS(DATE(YEAR(M15),1,1), DATE(YEAR(N15),12,31))),0)
))</f>
        <v>4.2183622828784115E-2</v>
      </c>
      <c r="R15" s="143">
        <f>IF(M15="", "", L15*IF($B$4=2, 52/$B$5*P15, O15/5))</f>
        <v>87.741935483870961</v>
      </c>
      <c r="S15" s="105">
        <f t="shared" ref="S15:S40" si="3">MIN(F15,R15)</f>
        <v>60</v>
      </c>
      <c r="T15" s="106" t="b">
        <f t="shared" ref="T15:T40" si="4">IF(M15&lt;&gt;"", AND(D15&lt;&gt;"", F15&lt;&gt;"", L15&lt;&gt;""), AND(D15="", F15="", L15=""))</f>
        <v>1</v>
      </c>
      <c r="U15" s="107">
        <f>S15/R15</f>
        <v>0.68382352941176472</v>
      </c>
      <c r="V15" s="166">
        <f>IF(H15="ja",I15,0)/R15</f>
        <v>0</v>
      </c>
      <c r="W15" s="184">
        <f>(E15/U15)/Q15</f>
        <v>41600</v>
      </c>
      <c r="X15" s="184">
        <f>W15+D15</f>
        <v>161600</v>
      </c>
      <c r="Y15" s="184">
        <f t="shared" ref="Y15:Y26" si="5">franchise2027</f>
        <v>19172</v>
      </c>
      <c r="Z15" s="184">
        <f t="shared" ref="Z15:Z26" si="6">MIN(maxloon2027+W15, maxloonexc2027)</f>
        <v>116600</v>
      </c>
      <c r="AA15" s="188">
        <f t="shared" ref="AA15:AA26" si="7">maxloonexc2027</f>
        <v>137800</v>
      </c>
      <c r="AB15" s="174">
        <f>MIN(X15,Z15,AA15)-Y15</f>
        <v>97428</v>
      </c>
      <c r="AC15" s="109">
        <f>AB15*U15*Q15</f>
        <v>2810.4230769230767</v>
      </c>
      <c r="AD15" s="109">
        <f>AB15*V15*Q15</f>
        <v>0</v>
      </c>
      <c r="AE15" s="110">
        <f t="shared" ref="AE15:AE27" si="8">AC15*premiepct2027</f>
        <v>786.35637692307682</v>
      </c>
      <c r="AF15" s="168">
        <f t="shared" ref="AF15:AF27" si="9">AD15*premiepct2027*premiekort_ouderschapsverlof2027</f>
        <v>0</v>
      </c>
      <c r="AG15" s="168">
        <f>AE15-AF15</f>
        <v>786.35637692307682</v>
      </c>
      <c r="AH15" s="173">
        <f t="shared" ref="AH15:AH40" si="10">IF(exc_regeling_jn,MAX(MIN(X15,AA15)-Z15, 0),"")</f>
        <v>21200</v>
      </c>
      <c r="AI15" s="109">
        <f t="shared" ref="AI15:AI40" si="11">IF(exc_regeling_jn,AH15*U15*Q15,"")</f>
        <v>611.53846153846155</v>
      </c>
      <c r="AJ15" s="109">
        <f t="shared" ref="AJ15:AJ27" si="12">IF(exc_regeling_jn,AI15*gekozen_premie_exc2027,"")</f>
        <v>171.10846153846154</v>
      </c>
      <c r="AK15" s="111">
        <v>18000</v>
      </c>
      <c r="AL15" s="126">
        <f>AK15/1000*VLOOKUP(leeftijd_deelnemer,'premie ANW-hiaat'!A$2:C$54,2,0)*VLOOKUP(leeftijd_partner,'premie ANW-hiaat'!A$2:C$54,3,0)*Q15</f>
        <v>16.817167741935481</v>
      </c>
      <c r="AM15" s="109">
        <f t="shared" ref="AM15" si="13">AG15</f>
        <v>786.35637692307682</v>
      </c>
      <c r="AN15" s="109">
        <f t="shared" ref="AN15" si="14">IF(exc_regeling_jn,AJ15,"")</f>
        <v>171.10846153846154</v>
      </c>
      <c r="AO15" s="126">
        <f>AL15</f>
        <v>16.817167741935481</v>
      </c>
      <c r="AP15" s="109">
        <f>SUM(AM15:AO15)</f>
        <v>974.28200620347388</v>
      </c>
    </row>
    <row r="16" spans="1:42" s="33" customFormat="1" ht="12.75" x14ac:dyDescent="0.2">
      <c r="A16" s="97">
        <f>IF(AND($B$5=12, COUNTIF($A$14:A15, 12)&gt;1), "",IF(OR(AND($B$5=12, A15=12),AND($B$5=13, A15=13), A15 = "Periode"), 1, A15+1))</f>
        <v>2</v>
      </c>
      <c r="B16" s="98">
        <f>IF(OR(IF($B$5=13, rekenwaarden!D4, rekenwaarden!I4)&lt;$B$6,IF($B$5=13, rekenwaarden!C4, rekenwaarden!H4)&gt;$B$7),"",IF(A16="", "", IF($B$5=13, rekenwaarden!C4, rekenwaarden!H4)))</f>
        <v>46419</v>
      </c>
      <c r="C16" s="99">
        <f>IF(B16="", "", IF($B$5=13, rekenwaarden!D4, rekenwaarden!I4))</f>
        <v>46446</v>
      </c>
      <c r="D16" s="100">
        <v>120000</v>
      </c>
      <c r="E16" s="100">
        <v>1200</v>
      </c>
      <c r="F16" s="66">
        <v>120</v>
      </c>
      <c r="G16" s="66">
        <v>0</v>
      </c>
      <c r="H16" s="66" t="s">
        <v>125</v>
      </c>
      <c r="I16" s="66">
        <v>0</v>
      </c>
      <c r="J16" s="66" t="s">
        <v>125</v>
      </c>
      <c r="K16" s="66">
        <v>0</v>
      </c>
      <c r="L16" s="101">
        <v>40</v>
      </c>
      <c r="M16" s="98">
        <f t="shared" si="0"/>
        <v>46419</v>
      </c>
      <c r="N16" s="98">
        <f t="shared" si="1"/>
        <v>46446</v>
      </c>
      <c r="O16" s="97">
        <f t="shared" ref="O16:O40" si="15">IF(M16="","",IF($B$4=2,N16-M16+1,NETWORKDAYS(M16, N16)))</f>
        <v>28</v>
      </c>
      <c r="P16" s="102">
        <f t="shared" si="2"/>
        <v>1</v>
      </c>
      <c r="Q16" s="103">
        <f t="shared" ref="Q16:Q40" si="16">IF(M16="","",
IF($B$4=2,P16/$B$5,
IF($B$4=1,(O16/NETWORKDAYS(DATE(YEAR(M16),1,1), DATE(YEAR(N16),12,31))),0)
))</f>
        <v>7.6923076923076927E-2</v>
      </c>
      <c r="R16" s="143">
        <f t="shared" ref="R16:R40" si="17">IF(M16="", "", L16*IF($B$4=2, 52/$B$5*P16, O16/5))</f>
        <v>160</v>
      </c>
      <c r="S16" s="105">
        <f t="shared" si="3"/>
        <v>120</v>
      </c>
      <c r="T16" s="106" t="b">
        <f t="shared" si="4"/>
        <v>1</v>
      </c>
      <c r="U16" s="107">
        <f t="shared" ref="U16:U40" si="18">S16/R16</f>
        <v>0.75</v>
      </c>
      <c r="V16" s="164">
        <f t="shared" ref="V16:V40" si="19">IF(H16="ja",I16,0)/R16</f>
        <v>0</v>
      </c>
      <c r="W16" s="184">
        <f t="shared" ref="W16:W38" si="20">(E16/U16)/Q16</f>
        <v>20800</v>
      </c>
      <c r="X16" s="184">
        <f t="shared" ref="X16:X38" si="21">W16+D16</f>
        <v>140800</v>
      </c>
      <c r="Y16" s="184">
        <f t="shared" si="5"/>
        <v>19172</v>
      </c>
      <c r="Z16" s="184">
        <f t="shared" si="6"/>
        <v>95800</v>
      </c>
      <c r="AA16" s="184">
        <f t="shared" si="7"/>
        <v>137800</v>
      </c>
      <c r="AB16" s="189">
        <f t="shared" ref="AB16:AB40" si="22">MIN(X16,Z16,AA16)-Y16</f>
        <v>76628</v>
      </c>
      <c r="AC16" s="109">
        <f t="shared" ref="AC16:AC40" si="23">AB16*U16*Q16</f>
        <v>4420.8461538461543</v>
      </c>
      <c r="AD16" s="109">
        <f t="shared" ref="AD16:AD40" si="24">AB16*V16*Q16</f>
        <v>0</v>
      </c>
      <c r="AE16" s="110">
        <f t="shared" si="8"/>
        <v>1236.9527538461539</v>
      </c>
      <c r="AF16" s="168">
        <f t="shared" si="9"/>
        <v>0</v>
      </c>
      <c r="AG16" s="109">
        <f t="shared" ref="AG16:AG40" si="25">AE16-AF16</f>
        <v>1236.9527538461539</v>
      </c>
      <c r="AH16" s="173">
        <f t="shared" si="10"/>
        <v>42000</v>
      </c>
      <c r="AI16" s="109">
        <f t="shared" si="11"/>
        <v>2423.0769230769233</v>
      </c>
      <c r="AJ16" s="109">
        <f t="shared" si="12"/>
        <v>677.97692307692319</v>
      </c>
      <c r="AK16" s="110">
        <v>18000</v>
      </c>
      <c r="AL16" s="168">
        <f>AK16/1000*VLOOKUP(leeftijd_deelnemer,'premie ANW-hiaat'!A$2:C$54,2,0)*VLOOKUP(leeftijd_partner,'premie ANW-hiaat'!A$2:C$54,3,0)*Q16</f>
        <v>30.666600000000003</v>
      </c>
      <c r="AM16" s="109">
        <f t="shared" ref="AM16:AM40" si="26">AG16</f>
        <v>1236.9527538461539</v>
      </c>
      <c r="AN16" s="109">
        <f t="shared" ref="AN16:AN40" si="27">IF(exc_regeling_jn,AJ16,"")</f>
        <v>677.97692307692319</v>
      </c>
      <c r="AO16" s="168">
        <f t="shared" ref="AO16:AO40" si="28">AL16</f>
        <v>30.666600000000003</v>
      </c>
      <c r="AP16" s="109">
        <f t="shared" ref="AP16:AP40" si="29">SUM(AM16:AO16)</f>
        <v>1945.5962769230771</v>
      </c>
    </row>
    <row r="17" spans="1:42" s="33" customFormat="1" ht="12.75" x14ac:dyDescent="0.2">
      <c r="A17" s="97">
        <f>IF(AND($B$5=12, COUNTIF($A$14:A16, 12)&gt;1), "",IF(OR(AND($B$5=12, A16=12),AND($B$5=13, A16=13), A16 = "Periode"), 1, A16+1))</f>
        <v>3</v>
      </c>
      <c r="B17" s="98">
        <f>IF(OR(IF($B$5=13, rekenwaarden!D5, rekenwaarden!I5)&lt;$B$6,IF($B$5=13, rekenwaarden!C5, rekenwaarden!H5)&gt;$B$7),"",IF(A17="", "", IF($B$5=13, rekenwaarden!C5, rekenwaarden!H5)))</f>
        <v>46447</v>
      </c>
      <c r="C17" s="99">
        <f>IF(B17="", "", IF($B$5=13, rekenwaarden!D5, rekenwaarden!I5))</f>
        <v>46474</v>
      </c>
      <c r="D17" s="100">
        <v>120000</v>
      </c>
      <c r="E17" s="100">
        <v>1200</v>
      </c>
      <c r="F17" s="66">
        <v>120</v>
      </c>
      <c r="G17" s="66">
        <v>0</v>
      </c>
      <c r="H17" s="66" t="s">
        <v>125</v>
      </c>
      <c r="I17" s="66">
        <v>0</v>
      </c>
      <c r="J17" s="66" t="s">
        <v>125</v>
      </c>
      <c r="K17" s="66">
        <v>0</v>
      </c>
      <c r="L17" s="101">
        <v>40</v>
      </c>
      <c r="M17" s="98">
        <f t="shared" si="0"/>
        <v>46447</v>
      </c>
      <c r="N17" s="98">
        <f t="shared" si="1"/>
        <v>46474</v>
      </c>
      <c r="O17" s="97">
        <f t="shared" si="15"/>
        <v>28</v>
      </c>
      <c r="P17" s="102">
        <f t="shared" si="2"/>
        <v>1</v>
      </c>
      <c r="Q17" s="103">
        <f t="shared" si="16"/>
        <v>7.6923076923076927E-2</v>
      </c>
      <c r="R17" s="143">
        <f t="shared" si="17"/>
        <v>160</v>
      </c>
      <c r="S17" s="105">
        <f t="shared" si="3"/>
        <v>120</v>
      </c>
      <c r="T17" s="106" t="b">
        <f t="shared" si="4"/>
        <v>1</v>
      </c>
      <c r="U17" s="67">
        <f t="shared" si="18"/>
        <v>0.75</v>
      </c>
      <c r="V17" s="165">
        <f t="shared" si="19"/>
        <v>0</v>
      </c>
      <c r="W17" s="185">
        <f t="shared" si="20"/>
        <v>20800</v>
      </c>
      <c r="X17" s="185">
        <f t="shared" si="21"/>
        <v>140800</v>
      </c>
      <c r="Y17" s="185">
        <f t="shared" si="5"/>
        <v>19172</v>
      </c>
      <c r="Z17" s="185">
        <f t="shared" si="6"/>
        <v>95800</v>
      </c>
      <c r="AA17" s="185">
        <f t="shared" si="7"/>
        <v>137800</v>
      </c>
      <c r="AB17" s="189">
        <f t="shared" si="22"/>
        <v>76628</v>
      </c>
      <c r="AC17" s="109">
        <f t="shared" si="23"/>
        <v>4420.8461538461543</v>
      </c>
      <c r="AD17" s="109">
        <f t="shared" si="24"/>
        <v>0</v>
      </c>
      <c r="AE17" s="110">
        <f t="shared" si="8"/>
        <v>1236.9527538461539</v>
      </c>
      <c r="AF17" s="168">
        <f t="shared" si="9"/>
        <v>0</v>
      </c>
      <c r="AG17" s="109">
        <f t="shared" si="25"/>
        <v>1236.9527538461539</v>
      </c>
      <c r="AH17" s="173">
        <f t="shared" si="10"/>
        <v>42000</v>
      </c>
      <c r="AI17" s="109">
        <f t="shared" si="11"/>
        <v>2423.0769230769233</v>
      </c>
      <c r="AJ17" s="109">
        <f t="shared" si="12"/>
        <v>677.97692307692319</v>
      </c>
      <c r="AK17" s="110">
        <v>18000</v>
      </c>
      <c r="AL17" s="168">
        <f>AK17/1000*VLOOKUP(leeftijd_deelnemer,'premie ANW-hiaat'!A$2:C$54,2,0)*VLOOKUP(leeftijd_partner,'premie ANW-hiaat'!A$2:C$54,3,0)*Q17</f>
        <v>30.666600000000003</v>
      </c>
      <c r="AM17" s="109">
        <f t="shared" si="26"/>
        <v>1236.9527538461539</v>
      </c>
      <c r="AN17" s="109">
        <f t="shared" si="27"/>
        <v>677.97692307692319</v>
      </c>
      <c r="AO17" s="168">
        <f t="shared" si="28"/>
        <v>30.666600000000003</v>
      </c>
      <c r="AP17" s="109">
        <f>SUM(AM17:AO17)</f>
        <v>1945.5962769230771</v>
      </c>
    </row>
    <row r="18" spans="1:42" s="33" customFormat="1" ht="12.75" x14ac:dyDescent="0.2">
      <c r="A18" s="97">
        <f>IF(AND($B$5=12, COUNTIF($A$14:A17, 12)&gt;1), "",IF(OR(AND($B$5=12, A17=12),AND($B$5=13, A17=13), A17 = "Periode"), 1, A17+1))</f>
        <v>4</v>
      </c>
      <c r="B18" s="98">
        <f>IF(OR(IF($B$5=13, rekenwaarden!D6, rekenwaarden!I6)&lt;$B$6,IF($B$5=13, rekenwaarden!C6, rekenwaarden!H6)&gt;$B$7),"",IF(A18="", "", IF($B$5=13, rekenwaarden!C6, rekenwaarden!H6)))</f>
        <v>46475</v>
      </c>
      <c r="C18" s="99">
        <f>IF(B18="", "", IF($B$5=13, rekenwaarden!D6, rekenwaarden!I6))</f>
        <v>46502</v>
      </c>
      <c r="D18" s="100">
        <v>120000</v>
      </c>
      <c r="E18" s="100">
        <v>1000</v>
      </c>
      <c r="F18" s="66">
        <v>100</v>
      </c>
      <c r="G18" s="66">
        <v>20</v>
      </c>
      <c r="H18" s="66" t="s">
        <v>125</v>
      </c>
      <c r="I18" s="66">
        <v>20</v>
      </c>
      <c r="J18" s="66" t="s">
        <v>126</v>
      </c>
      <c r="K18" s="66">
        <v>20</v>
      </c>
      <c r="L18" s="101">
        <v>40</v>
      </c>
      <c r="M18" s="98">
        <f t="shared" si="0"/>
        <v>46475</v>
      </c>
      <c r="N18" s="98">
        <f t="shared" si="1"/>
        <v>46502</v>
      </c>
      <c r="O18" s="97">
        <f t="shared" si="15"/>
        <v>28</v>
      </c>
      <c r="P18" s="102">
        <f t="shared" si="2"/>
        <v>1</v>
      </c>
      <c r="Q18" s="103">
        <f t="shared" si="16"/>
        <v>7.6923076923076927E-2</v>
      </c>
      <c r="R18" s="143">
        <f t="shared" si="17"/>
        <v>160</v>
      </c>
      <c r="S18" s="105">
        <f t="shared" si="3"/>
        <v>100</v>
      </c>
      <c r="T18" s="106" t="b">
        <f t="shared" si="4"/>
        <v>1</v>
      </c>
      <c r="U18" s="67">
        <f t="shared" si="18"/>
        <v>0.625</v>
      </c>
      <c r="V18" s="165">
        <f t="shared" si="19"/>
        <v>0</v>
      </c>
      <c r="W18" s="185">
        <f t="shared" si="20"/>
        <v>20800</v>
      </c>
      <c r="X18" s="185">
        <f t="shared" si="21"/>
        <v>140800</v>
      </c>
      <c r="Y18" s="185">
        <f t="shared" si="5"/>
        <v>19172</v>
      </c>
      <c r="Z18" s="185">
        <f t="shared" si="6"/>
        <v>95800</v>
      </c>
      <c r="AA18" s="185">
        <f t="shared" si="7"/>
        <v>137800</v>
      </c>
      <c r="AB18" s="189">
        <f t="shared" si="22"/>
        <v>76628</v>
      </c>
      <c r="AC18" s="109">
        <f t="shared" si="23"/>
        <v>3684.0384615384619</v>
      </c>
      <c r="AD18" s="109">
        <f t="shared" si="24"/>
        <v>0</v>
      </c>
      <c r="AE18" s="110">
        <f t="shared" si="8"/>
        <v>1030.7939615384616</v>
      </c>
      <c r="AF18" s="168">
        <f t="shared" si="9"/>
        <v>0</v>
      </c>
      <c r="AG18" s="109">
        <f t="shared" si="25"/>
        <v>1030.7939615384616</v>
      </c>
      <c r="AH18" s="173">
        <f t="shared" si="10"/>
        <v>42000</v>
      </c>
      <c r="AI18" s="109">
        <f t="shared" si="11"/>
        <v>2019.2307692307693</v>
      </c>
      <c r="AJ18" s="109">
        <f t="shared" si="12"/>
        <v>564.98076923076928</v>
      </c>
      <c r="AK18" s="110">
        <v>18000</v>
      </c>
      <c r="AL18" s="168">
        <f>AK18/1000*VLOOKUP(leeftijd_deelnemer,'premie ANW-hiaat'!A$2:C$54,2,0)*VLOOKUP(leeftijd_partner,'premie ANW-hiaat'!A$2:C$54,3,0)*Q18</f>
        <v>30.666600000000003</v>
      </c>
      <c r="AM18" s="109">
        <f t="shared" si="26"/>
        <v>1030.7939615384616</v>
      </c>
      <c r="AN18" s="109">
        <f t="shared" si="27"/>
        <v>564.98076923076928</v>
      </c>
      <c r="AO18" s="168">
        <f t="shared" si="28"/>
        <v>30.666600000000003</v>
      </c>
      <c r="AP18" s="109">
        <f t="shared" si="29"/>
        <v>1626.4413307692309</v>
      </c>
    </row>
    <row r="19" spans="1:42" s="33" customFormat="1" ht="12.75" x14ac:dyDescent="0.2">
      <c r="A19" s="97">
        <f>IF(AND($B$5=12, COUNTIF($A$14:A18, 12)&gt;1), "",IF(OR(AND($B$5=12, A18=12),AND($B$5=13, A18=13), A18 = "Periode"), 1, A18+1))</f>
        <v>5</v>
      </c>
      <c r="B19" s="98">
        <f>IF(OR(IF($B$5=13, rekenwaarden!D7, rekenwaarden!I7)&lt;$B$6,IF($B$5=13, rekenwaarden!C7, rekenwaarden!H7)&gt;$B$7),"",IF(A19="", "", IF($B$5=13, rekenwaarden!C7, rekenwaarden!H7)))</f>
        <v>46503</v>
      </c>
      <c r="C19" s="99">
        <f>IF(B19="", "", IF($B$5=13, rekenwaarden!D7, rekenwaarden!I7))</f>
        <v>46530</v>
      </c>
      <c r="D19" s="100">
        <v>120000</v>
      </c>
      <c r="E19" s="100">
        <v>1200</v>
      </c>
      <c r="F19" s="66">
        <v>120</v>
      </c>
      <c r="G19" s="66">
        <v>40</v>
      </c>
      <c r="H19" s="66" t="s">
        <v>126</v>
      </c>
      <c r="I19" s="66">
        <v>10</v>
      </c>
      <c r="J19" s="66" t="s">
        <v>126</v>
      </c>
      <c r="K19" s="66">
        <v>30</v>
      </c>
      <c r="L19" s="101">
        <v>40</v>
      </c>
      <c r="M19" s="98">
        <f t="shared" si="0"/>
        <v>46503</v>
      </c>
      <c r="N19" s="98">
        <f t="shared" si="1"/>
        <v>46530</v>
      </c>
      <c r="O19" s="97">
        <f t="shared" si="15"/>
        <v>28</v>
      </c>
      <c r="P19" s="102">
        <f t="shared" si="2"/>
        <v>1</v>
      </c>
      <c r="Q19" s="103">
        <f t="shared" si="16"/>
        <v>7.6923076923076927E-2</v>
      </c>
      <c r="R19" s="143">
        <f t="shared" si="17"/>
        <v>160</v>
      </c>
      <c r="S19" s="105">
        <f t="shared" si="3"/>
        <v>120</v>
      </c>
      <c r="T19" s="106" t="b">
        <f t="shared" si="4"/>
        <v>1</v>
      </c>
      <c r="U19" s="107">
        <f t="shared" si="18"/>
        <v>0.75</v>
      </c>
      <c r="V19" s="164">
        <f t="shared" si="19"/>
        <v>6.25E-2</v>
      </c>
      <c r="W19" s="184">
        <f t="shared" si="20"/>
        <v>20800</v>
      </c>
      <c r="X19" s="184">
        <f t="shared" si="21"/>
        <v>140800</v>
      </c>
      <c r="Y19" s="184">
        <f t="shared" si="5"/>
        <v>19172</v>
      </c>
      <c r="Z19" s="184">
        <f t="shared" si="6"/>
        <v>95800</v>
      </c>
      <c r="AA19" s="184">
        <f t="shared" si="7"/>
        <v>137800</v>
      </c>
      <c r="AB19" s="189">
        <f t="shared" si="22"/>
        <v>76628</v>
      </c>
      <c r="AC19" s="109">
        <f t="shared" si="23"/>
        <v>4420.8461538461543</v>
      </c>
      <c r="AD19" s="109">
        <f t="shared" si="24"/>
        <v>368.40384615384619</v>
      </c>
      <c r="AE19" s="110">
        <f t="shared" si="8"/>
        <v>1236.9527538461539</v>
      </c>
      <c r="AF19" s="168">
        <f t="shared" si="9"/>
        <v>51.539698076923081</v>
      </c>
      <c r="AG19" s="109">
        <f t="shared" si="25"/>
        <v>1185.4130557692308</v>
      </c>
      <c r="AH19" s="173">
        <f t="shared" si="10"/>
        <v>42000</v>
      </c>
      <c r="AI19" s="109">
        <f t="shared" si="11"/>
        <v>2423.0769230769233</v>
      </c>
      <c r="AJ19" s="109">
        <f t="shared" si="12"/>
        <v>677.97692307692319</v>
      </c>
      <c r="AK19" s="110">
        <v>18000</v>
      </c>
      <c r="AL19" s="168">
        <f>AK19/1000*VLOOKUP(leeftijd_deelnemer,'premie ANW-hiaat'!A$2:C$54,2,0)*VLOOKUP(leeftijd_partner,'premie ANW-hiaat'!A$2:C$54,3,0)*Q19</f>
        <v>30.666600000000003</v>
      </c>
      <c r="AM19" s="109">
        <f t="shared" si="26"/>
        <v>1185.4130557692308</v>
      </c>
      <c r="AN19" s="109">
        <f t="shared" si="27"/>
        <v>677.97692307692319</v>
      </c>
      <c r="AO19" s="168">
        <f t="shared" si="28"/>
        <v>30.666600000000003</v>
      </c>
      <c r="AP19" s="109">
        <f t="shared" si="29"/>
        <v>1894.056578846154</v>
      </c>
    </row>
    <row r="20" spans="1:42" s="33" customFormat="1" ht="12.75" x14ac:dyDescent="0.2">
      <c r="A20" s="97">
        <f>IF(AND($B$5=12, COUNTIF($A$14:A19, 12)&gt;1), "",IF(OR(AND($B$5=12, A19=12),AND($B$5=13, A19=13), A19 = "Periode"), 1, A19+1))</f>
        <v>6</v>
      </c>
      <c r="B20" s="98">
        <f>IF(OR(IF($B$5=13, rekenwaarden!D8, rekenwaarden!I8)&lt;$B$6,IF($B$5=13, rekenwaarden!C8, rekenwaarden!H8)&gt;$B$7),"",IF(A20="", "", IF($B$5=13, rekenwaarden!C8, rekenwaarden!H8)))</f>
        <v>46531</v>
      </c>
      <c r="C20" s="99">
        <f>IF(B20="", "", IF($B$5=13, rekenwaarden!D8, rekenwaarden!I8))</f>
        <v>46558</v>
      </c>
      <c r="D20" s="100">
        <v>120000</v>
      </c>
      <c r="E20" s="100">
        <v>1000</v>
      </c>
      <c r="F20" s="66">
        <v>100</v>
      </c>
      <c r="G20" s="66">
        <v>20</v>
      </c>
      <c r="H20" s="66" t="s">
        <v>125</v>
      </c>
      <c r="I20" s="66">
        <v>20</v>
      </c>
      <c r="J20" s="66" t="s">
        <v>126</v>
      </c>
      <c r="K20" s="66">
        <v>20</v>
      </c>
      <c r="L20" s="101">
        <v>40</v>
      </c>
      <c r="M20" s="98">
        <f t="shared" si="0"/>
        <v>46531</v>
      </c>
      <c r="N20" s="98">
        <f t="shared" si="1"/>
        <v>46558</v>
      </c>
      <c r="O20" s="97">
        <f t="shared" si="15"/>
        <v>28</v>
      </c>
      <c r="P20" s="102">
        <f t="shared" si="2"/>
        <v>1</v>
      </c>
      <c r="Q20" s="103">
        <f t="shared" si="16"/>
        <v>7.6923076923076927E-2</v>
      </c>
      <c r="R20" s="143">
        <f t="shared" si="17"/>
        <v>160</v>
      </c>
      <c r="S20" s="105">
        <f t="shared" si="3"/>
        <v>100</v>
      </c>
      <c r="T20" s="106" t="b">
        <f t="shared" si="4"/>
        <v>1</v>
      </c>
      <c r="U20" s="107">
        <f t="shared" si="18"/>
        <v>0.625</v>
      </c>
      <c r="V20" s="164">
        <f t="shared" si="19"/>
        <v>0</v>
      </c>
      <c r="W20" s="184">
        <f t="shared" si="20"/>
        <v>20800</v>
      </c>
      <c r="X20" s="184">
        <f t="shared" si="21"/>
        <v>140800</v>
      </c>
      <c r="Y20" s="184">
        <f t="shared" si="5"/>
        <v>19172</v>
      </c>
      <c r="Z20" s="184">
        <f t="shared" si="6"/>
        <v>95800</v>
      </c>
      <c r="AA20" s="184">
        <f t="shared" si="7"/>
        <v>137800</v>
      </c>
      <c r="AB20" s="189">
        <f t="shared" si="22"/>
        <v>76628</v>
      </c>
      <c r="AC20" s="109">
        <f t="shared" si="23"/>
        <v>3684.0384615384619</v>
      </c>
      <c r="AD20" s="109">
        <f t="shared" si="24"/>
        <v>0</v>
      </c>
      <c r="AE20" s="110">
        <f t="shared" si="8"/>
        <v>1030.7939615384616</v>
      </c>
      <c r="AF20" s="168">
        <f t="shared" si="9"/>
        <v>0</v>
      </c>
      <c r="AG20" s="109">
        <f t="shared" si="25"/>
        <v>1030.7939615384616</v>
      </c>
      <c r="AH20" s="173">
        <f t="shared" si="10"/>
        <v>42000</v>
      </c>
      <c r="AI20" s="109">
        <f t="shared" si="11"/>
        <v>2019.2307692307693</v>
      </c>
      <c r="AJ20" s="109">
        <f t="shared" si="12"/>
        <v>564.98076923076928</v>
      </c>
      <c r="AK20" s="110">
        <v>18000</v>
      </c>
      <c r="AL20" s="168">
        <f>AK20/1000*VLOOKUP(leeftijd_deelnemer,'premie ANW-hiaat'!A$2:C$54,2,0)*VLOOKUP(leeftijd_partner,'premie ANW-hiaat'!A$2:C$54,3,0)*Q20</f>
        <v>30.666600000000003</v>
      </c>
      <c r="AM20" s="109">
        <f t="shared" si="26"/>
        <v>1030.7939615384616</v>
      </c>
      <c r="AN20" s="109">
        <f t="shared" si="27"/>
        <v>564.98076923076928</v>
      </c>
      <c r="AO20" s="168">
        <f t="shared" si="28"/>
        <v>30.666600000000003</v>
      </c>
      <c r="AP20" s="109">
        <f t="shared" si="29"/>
        <v>1626.4413307692309</v>
      </c>
    </row>
    <row r="21" spans="1:42" s="33" customFormat="1" ht="12.75" x14ac:dyDescent="0.2">
      <c r="A21" s="97">
        <f>IF(AND($B$5=12, COUNTIF($A$14:A20, 12)&gt;1), "",IF(OR(AND($B$5=12, A20=12),AND($B$5=13, A20=13), A20 = "Periode"), 1, A20+1))</f>
        <v>7</v>
      </c>
      <c r="B21" s="98">
        <f>IF(OR(IF($B$5=13, rekenwaarden!D9, rekenwaarden!I9)&lt;$B$6,IF($B$5=13, rekenwaarden!C9, rekenwaarden!H9)&gt;$B$7),"",IF(A21="", "", IF($B$5=13, rekenwaarden!C9, rekenwaarden!H9)))</f>
        <v>46559</v>
      </c>
      <c r="C21" s="99">
        <f>IF(B21="", "", IF($B$5=13, rekenwaarden!D9, rekenwaarden!I9))</f>
        <v>46586</v>
      </c>
      <c r="D21" s="100">
        <v>120000</v>
      </c>
      <c r="E21" s="100">
        <v>1000</v>
      </c>
      <c r="F21" s="66">
        <v>100</v>
      </c>
      <c r="G21" s="66">
        <v>20</v>
      </c>
      <c r="H21" s="66" t="s">
        <v>126</v>
      </c>
      <c r="I21" s="66">
        <v>20</v>
      </c>
      <c r="J21" s="66" t="s">
        <v>125</v>
      </c>
      <c r="K21" s="66">
        <v>20</v>
      </c>
      <c r="L21" s="101">
        <v>40</v>
      </c>
      <c r="M21" s="98">
        <f t="shared" si="0"/>
        <v>46559</v>
      </c>
      <c r="N21" s="98">
        <f t="shared" si="1"/>
        <v>46586</v>
      </c>
      <c r="O21" s="97">
        <f t="shared" si="15"/>
        <v>28</v>
      </c>
      <c r="P21" s="102">
        <f t="shared" si="2"/>
        <v>1</v>
      </c>
      <c r="Q21" s="103">
        <f t="shared" si="16"/>
        <v>7.6923076923076927E-2</v>
      </c>
      <c r="R21" s="143">
        <f t="shared" si="17"/>
        <v>160</v>
      </c>
      <c r="S21" s="105">
        <f t="shared" si="3"/>
        <v>100</v>
      </c>
      <c r="T21" s="106" t="b">
        <f t="shared" si="4"/>
        <v>1</v>
      </c>
      <c r="U21" s="107">
        <f t="shared" si="18"/>
        <v>0.625</v>
      </c>
      <c r="V21" s="164">
        <f t="shared" si="19"/>
        <v>0.125</v>
      </c>
      <c r="W21" s="184">
        <f t="shared" si="20"/>
        <v>20800</v>
      </c>
      <c r="X21" s="184">
        <f t="shared" si="21"/>
        <v>140800</v>
      </c>
      <c r="Y21" s="184">
        <f t="shared" si="5"/>
        <v>19172</v>
      </c>
      <c r="Z21" s="184">
        <f t="shared" si="6"/>
        <v>95800</v>
      </c>
      <c r="AA21" s="184">
        <f t="shared" si="7"/>
        <v>137800</v>
      </c>
      <c r="AB21" s="189">
        <f t="shared" si="22"/>
        <v>76628</v>
      </c>
      <c r="AC21" s="109">
        <f t="shared" si="23"/>
        <v>3684.0384615384619</v>
      </c>
      <c r="AD21" s="109">
        <f t="shared" si="24"/>
        <v>736.80769230769238</v>
      </c>
      <c r="AE21" s="110">
        <f t="shared" si="8"/>
        <v>1030.7939615384616</v>
      </c>
      <c r="AF21" s="168">
        <f t="shared" si="9"/>
        <v>103.07939615384616</v>
      </c>
      <c r="AG21" s="109">
        <f t="shared" si="25"/>
        <v>927.71456538461553</v>
      </c>
      <c r="AH21" s="173">
        <f t="shared" si="10"/>
        <v>42000</v>
      </c>
      <c r="AI21" s="109">
        <f t="shared" si="11"/>
        <v>2019.2307692307693</v>
      </c>
      <c r="AJ21" s="109">
        <f t="shared" si="12"/>
        <v>564.98076923076928</v>
      </c>
      <c r="AK21" s="110">
        <v>18000</v>
      </c>
      <c r="AL21" s="168">
        <f>AK21/1000*VLOOKUP(leeftijd_deelnemer,'premie ANW-hiaat'!A$2:C$54,2,0)*VLOOKUP(leeftijd_partner,'premie ANW-hiaat'!A$2:C$54,3,0)*Q21</f>
        <v>30.666600000000003</v>
      </c>
      <c r="AM21" s="109">
        <f t="shared" si="26"/>
        <v>927.71456538461553</v>
      </c>
      <c r="AN21" s="109">
        <f t="shared" si="27"/>
        <v>564.98076923076928</v>
      </c>
      <c r="AO21" s="168">
        <f t="shared" si="28"/>
        <v>30.666600000000003</v>
      </c>
      <c r="AP21" s="109">
        <f t="shared" si="29"/>
        <v>1523.3619346153848</v>
      </c>
    </row>
    <row r="22" spans="1:42" s="33" customFormat="1" ht="12.75" x14ac:dyDescent="0.2">
      <c r="A22" s="97">
        <f>IF(AND($B$5=12, COUNTIF($A$14:A21, 12)&gt;1), "",IF(OR(AND($B$5=12, A21=12),AND($B$5=13, A21=13), A21 = "Periode"), 1, A21+1))</f>
        <v>8</v>
      </c>
      <c r="B22" s="98">
        <f>IF(OR(IF($B$5=13, rekenwaarden!D10, rekenwaarden!I10)&lt;$B$6,IF($B$5=13, rekenwaarden!C10, rekenwaarden!H10)&gt;$B$7),"",IF(A22="", "", IF($B$5=13, rekenwaarden!C10, rekenwaarden!H10)))</f>
        <v>46587</v>
      </c>
      <c r="C22" s="99">
        <f>IF(B22="", "", IF($B$5=13, rekenwaarden!D10, rekenwaarden!I10))</f>
        <v>46614</v>
      </c>
      <c r="D22" s="100">
        <v>120000</v>
      </c>
      <c r="E22" s="100">
        <v>1200</v>
      </c>
      <c r="F22" s="66">
        <v>120</v>
      </c>
      <c r="G22" s="66">
        <v>40</v>
      </c>
      <c r="H22" s="66" t="s">
        <v>126</v>
      </c>
      <c r="I22" s="66">
        <v>40</v>
      </c>
      <c r="J22" s="66" t="s">
        <v>125</v>
      </c>
      <c r="K22" s="66">
        <v>0</v>
      </c>
      <c r="L22" s="101">
        <v>40</v>
      </c>
      <c r="M22" s="98">
        <f t="shared" si="0"/>
        <v>46587</v>
      </c>
      <c r="N22" s="98">
        <f t="shared" si="1"/>
        <v>46614</v>
      </c>
      <c r="O22" s="97">
        <f t="shared" si="15"/>
        <v>28</v>
      </c>
      <c r="P22" s="102">
        <f t="shared" si="2"/>
        <v>1</v>
      </c>
      <c r="Q22" s="103">
        <f t="shared" si="16"/>
        <v>7.6923076923076927E-2</v>
      </c>
      <c r="R22" s="143">
        <f t="shared" si="17"/>
        <v>160</v>
      </c>
      <c r="S22" s="105">
        <f t="shared" si="3"/>
        <v>120</v>
      </c>
      <c r="T22" s="106" t="b">
        <f t="shared" si="4"/>
        <v>1</v>
      </c>
      <c r="U22" s="107">
        <f t="shared" si="18"/>
        <v>0.75</v>
      </c>
      <c r="V22" s="164">
        <f t="shared" si="19"/>
        <v>0.25</v>
      </c>
      <c r="W22" s="184">
        <f t="shared" si="20"/>
        <v>20800</v>
      </c>
      <c r="X22" s="184">
        <f t="shared" si="21"/>
        <v>140800</v>
      </c>
      <c r="Y22" s="184">
        <f t="shared" si="5"/>
        <v>19172</v>
      </c>
      <c r="Z22" s="184">
        <f t="shared" si="6"/>
        <v>95800</v>
      </c>
      <c r="AA22" s="184">
        <f t="shared" si="7"/>
        <v>137800</v>
      </c>
      <c r="AB22" s="189">
        <f t="shared" si="22"/>
        <v>76628</v>
      </c>
      <c r="AC22" s="109">
        <f t="shared" si="23"/>
        <v>4420.8461538461543</v>
      </c>
      <c r="AD22" s="109">
        <f t="shared" si="24"/>
        <v>1473.6153846153848</v>
      </c>
      <c r="AE22" s="110">
        <f t="shared" si="8"/>
        <v>1236.9527538461539</v>
      </c>
      <c r="AF22" s="168">
        <f t="shared" si="9"/>
        <v>206.15879230769232</v>
      </c>
      <c r="AG22" s="109">
        <f t="shared" si="25"/>
        <v>1030.7939615384616</v>
      </c>
      <c r="AH22" s="173">
        <f t="shared" si="10"/>
        <v>42000</v>
      </c>
      <c r="AI22" s="109">
        <f t="shared" si="11"/>
        <v>2423.0769230769233</v>
      </c>
      <c r="AJ22" s="109">
        <f t="shared" si="12"/>
        <v>677.97692307692319</v>
      </c>
      <c r="AK22" s="110">
        <v>18000</v>
      </c>
      <c r="AL22" s="168">
        <f>AK22/1000*VLOOKUP(leeftijd_deelnemer,'premie ANW-hiaat'!A$2:C$54,2,0)*VLOOKUP(leeftijd_partner,'premie ANW-hiaat'!A$2:C$54,3,0)*Q22</f>
        <v>30.666600000000003</v>
      </c>
      <c r="AM22" s="109">
        <f t="shared" si="26"/>
        <v>1030.7939615384616</v>
      </c>
      <c r="AN22" s="109">
        <f t="shared" si="27"/>
        <v>677.97692307692319</v>
      </c>
      <c r="AO22" s="168">
        <f t="shared" si="28"/>
        <v>30.666600000000003</v>
      </c>
      <c r="AP22" s="109">
        <f t="shared" si="29"/>
        <v>1739.4374846153848</v>
      </c>
    </row>
    <row r="23" spans="1:42" s="33" customFormat="1" ht="12.75" x14ac:dyDescent="0.2">
      <c r="A23" s="97">
        <f>IF(AND($B$5=12, COUNTIF($A$14:A22, 12)&gt;1), "",IF(OR(AND($B$5=12, A22=12),AND($B$5=13, A22=13), A22 = "Periode"), 1, A22+1))</f>
        <v>9</v>
      </c>
      <c r="B23" s="98">
        <f>IF(OR(IF($B$5=13, rekenwaarden!D11, rekenwaarden!I11)&lt;$B$6,IF($B$5=13, rekenwaarden!C11, rekenwaarden!H11)&gt;$B$7),"",IF(A23="", "", IF($B$5=13, rekenwaarden!C11, rekenwaarden!H11)))</f>
        <v>46615</v>
      </c>
      <c r="C23" s="99">
        <f>IF(B23="", "", IF($B$5=13, rekenwaarden!D11, rekenwaarden!I11))</f>
        <v>46642</v>
      </c>
      <c r="D23" s="100">
        <v>120000</v>
      </c>
      <c r="E23" s="100">
        <v>0</v>
      </c>
      <c r="F23" s="66">
        <v>120</v>
      </c>
      <c r="G23" s="66">
        <v>0</v>
      </c>
      <c r="H23" s="66" t="s">
        <v>125</v>
      </c>
      <c r="I23" s="66">
        <v>0</v>
      </c>
      <c r="J23" s="66" t="s">
        <v>125</v>
      </c>
      <c r="K23" s="66">
        <v>0</v>
      </c>
      <c r="L23" s="101">
        <v>40</v>
      </c>
      <c r="M23" s="98">
        <f t="shared" si="0"/>
        <v>46615</v>
      </c>
      <c r="N23" s="98">
        <f t="shared" si="1"/>
        <v>46642</v>
      </c>
      <c r="O23" s="97">
        <f t="shared" si="15"/>
        <v>28</v>
      </c>
      <c r="P23" s="102">
        <f t="shared" si="2"/>
        <v>1</v>
      </c>
      <c r="Q23" s="103">
        <f t="shared" si="16"/>
        <v>7.6923076923076927E-2</v>
      </c>
      <c r="R23" s="143">
        <f t="shared" si="17"/>
        <v>160</v>
      </c>
      <c r="S23" s="105">
        <f t="shared" si="3"/>
        <v>120</v>
      </c>
      <c r="T23" s="106" t="b">
        <f t="shared" si="4"/>
        <v>1</v>
      </c>
      <c r="U23" s="107">
        <f t="shared" si="18"/>
        <v>0.75</v>
      </c>
      <c r="V23" s="164">
        <f t="shared" si="19"/>
        <v>0</v>
      </c>
      <c r="W23" s="184">
        <f t="shared" si="20"/>
        <v>0</v>
      </c>
      <c r="X23" s="184">
        <f t="shared" si="21"/>
        <v>120000</v>
      </c>
      <c r="Y23" s="184">
        <f t="shared" si="5"/>
        <v>19172</v>
      </c>
      <c r="Z23" s="184">
        <f t="shared" si="6"/>
        <v>75000</v>
      </c>
      <c r="AA23" s="184">
        <f t="shared" si="7"/>
        <v>137800</v>
      </c>
      <c r="AB23" s="189">
        <f t="shared" si="22"/>
        <v>55828</v>
      </c>
      <c r="AC23" s="109">
        <f t="shared" si="23"/>
        <v>3220.8461538461538</v>
      </c>
      <c r="AD23" s="109">
        <f t="shared" si="24"/>
        <v>0</v>
      </c>
      <c r="AE23" s="110">
        <f t="shared" si="8"/>
        <v>901.19275384615378</v>
      </c>
      <c r="AF23" s="168">
        <f t="shared" si="9"/>
        <v>0</v>
      </c>
      <c r="AG23" s="109">
        <f t="shared" si="25"/>
        <v>901.19275384615378</v>
      </c>
      <c r="AH23" s="173">
        <f t="shared" si="10"/>
        <v>45000</v>
      </c>
      <c r="AI23" s="109">
        <f t="shared" si="11"/>
        <v>2596.1538461538462</v>
      </c>
      <c r="AJ23" s="109">
        <f t="shared" si="12"/>
        <v>726.40384615384619</v>
      </c>
      <c r="AK23" s="110">
        <v>18000</v>
      </c>
      <c r="AL23" s="168">
        <f>AK23/1000*VLOOKUP(leeftijd_deelnemer,'premie ANW-hiaat'!A$2:C$54,2,0)*VLOOKUP(leeftijd_partner,'premie ANW-hiaat'!A$2:C$54,3,0)*Q23</f>
        <v>30.666600000000003</v>
      </c>
      <c r="AM23" s="109">
        <f t="shared" si="26"/>
        <v>901.19275384615378</v>
      </c>
      <c r="AN23" s="109">
        <f t="shared" si="27"/>
        <v>726.40384615384619</v>
      </c>
      <c r="AO23" s="168">
        <f t="shared" si="28"/>
        <v>30.666600000000003</v>
      </c>
      <c r="AP23" s="109">
        <f t="shared" si="29"/>
        <v>1658.2631999999999</v>
      </c>
    </row>
    <row r="24" spans="1:42" s="33" customFormat="1" ht="12.75" x14ac:dyDescent="0.2">
      <c r="A24" s="97">
        <f>IF(AND($B$5=12, COUNTIF($A$14:A23, 12)&gt;1), "",IF(OR(AND($B$5=12, A23=12),AND($B$5=13, A23=13), A23 = "Periode"), 1, A23+1))</f>
        <v>10</v>
      </c>
      <c r="B24" s="98">
        <f>IF(OR(IF($B$5=13, rekenwaarden!D12, rekenwaarden!I12)&lt;$B$6,IF($B$5=13, rekenwaarden!C12, rekenwaarden!H12)&gt;$B$7),"",IF(A24="", "", IF($B$5=13, rekenwaarden!C12, rekenwaarden!H12)))</f>
        <v>46643</v>
      </c>
      <c r="C24" s="99">
        <f>IF(B24="", "", IF($B$5=13, rekenwaarden!D12, rekenwaarden!I12))</f>
        <v>46670</v>
      </c>
      <c r="D24" s="100">
        <v>120000</v>
      </c>
      <c r="E24" s="100">
        <v>0</v>
      </c>
      <c r="F24" s="66">
        <v>120</v>
      </c>
      <c r="G24" s="66">
        <v>0</v>
      </c>
      <c r="H24" s="66" t="s">
        <v>125</v>
      </c>
      <c r="I24" s="66">
        <v>0</v>
      </c>
      <c r="J24" s="66" t="s">
        <v>125</v>
      </c>
      <c r="K24" s="66">
        <v>0</v>
      </c>
      <c r="L24" s="101">
        <v>40</v>
      </c>
      <c r="M24" s="98">
        <f t="shared" si="0"/>
        <v>46643</v>
      </c>
      <c r="N24" s="98">
        <f t="shared" si="1"/>
        <v>46670</v>
      </c>
      <c r="O24" s="97">
        <f t="shared" si="15"/>
        <v>28</v>
      </c>
      <c r="P24" s="102">
        <f t="shared" si="2"/>
        <v>1</v>
      </c>
      <c r="Q24" s="103">
        <f t="shared" si="16"/>
        <v>7.6923076923076927E-2</v>
      </c>
      <c r="R24" s="143">
        <f t="shared" si="17"/>
        <v>160</v>
      </c>
      <c r="S24" s="105">
        <f t="shared" si="3"/>
        <v>120</v>
      </c>
      <c r="T24" s="106" t="b">
        <f t="shared" si="4"/>
        <v>1</v>
      </c>
      <c r="U24" s="107">
        <f t="shared" si="18"/>
        <v>0.75</v>
      </c>
      <c r="V24" s="164">
        <f t="shared" si="19"/>
        <v>0</v>
      </c>
      <c r="W24" s="184">
        <f t="shared" si="20"/>
        <v>0</v>
      </c>
      <c r="X24" s="184">
        <f t="shared" si="21"/>
        <v>120000</v>
      </c>
      <c r="Y24" s="184">
        <f t="shared" si="5"/>
        <v>19172</v>
      </c>
      <c r="Z24" s="184">
        <f t="shared" si="6"/>
        <v>75000</v>
      </c>
      <c r="AA24" s="184">
        <f t="shared" si="7"/>
        <v>137800</v>
      </c>
      <c r="AB24" s="189">
        <f t="shared" si="22"/>
        <v>55828</v>
      </c>
      <c r="AC24" s="109">
        <f t="shared" si="23"/>
        <v>3220.8461538461538</v>
      </c>
      <c r="AD24" s="109">
        <f t="shared" si="24"/>
        <v>0</v>
      </c>
      <c r="AE24" s="110">
        <f t="shared" si="8"/>
        <v>901.19275384615378</v>
      </c>
      <c r="AF24" s="168">
        <f t="shared" si="9"/>
        <v>0</v>
      </c>
      <c r="AG24" s="109">
        <f t="shared" si="25"/>
        <v>901.19275384615378</v>
      </c>
      <c r="AH24" s="173">
        <f t="shared" si="10"/>
        <v>45000</v>
      </c>
      <c r="AI24" s="109">
        <f t="shared" si="11"/>
        <v>2596.1538461538462</v>
      </c>
      <c r="AJ24" s="109">
        <f t="shared" si="12"/>
        <v>726.40384615384619</v>
      </c>
      <c r="AK24" s="110">
        <v>18000</v>
      </c>
      <c r="AL24" s="168">
        <f>AK24/1000*VLOOKUP(leeftijd_deelnemer,'premie ANW-hiaat'!A$2:C$54,2,0)*VLOOKUP(leeftijd_partner,'premie ANW-hiaat'!A$2:C$54,3,0)*Q24</f>
        <v>30.666600000000003</v>
      </c>
      <c r="AM24" s="109">
        <f t="shared" si="26"/>
        <v>901.19275384615378</v>
      </c>
      <c r="AN24" s="109">
        <f t="shared" si="27"/>
        <v>726.40384615384619</v>
      </c>
      <c r="AO24" s="168">
        <f t="shared" si="28"/>
        <v>30.666600000000003</v>
      </c>
      <c r="AP24" s="109">
        <f t="shared" si="29"/>
        <v>1658.2631999999999</v>
      </c>
    </row>
    <row r="25" spans="1:42" s="33" customFormat="1" ht="12.75" x14ac:dyDescent="0.2">
      <c r="A25" s="97">
        <f>IF(AND($B$5=12, COUNTIF($A$14:A24, 12)&gt;1), "",IF(OR(AND($B$5=12, A24=12),AND($B$5=13, A24=13), A24 = "Periode"), 1, A24+1))</f>
        <v>11</v>
      </c>
      <c r="B25" s="98">
        <f>IF(OR(IF($B$5=13, rekenwaarden!D13, rekenwaarden!I13)&lt;$B$6,IF($B$5=13, rekenwaarden!C13, rekenwaarden!H13)&gt;$B$7),"",IF(A25="", "", IF($B$5=13, rekenwaarden!C13, rekenwaarden!H13)))</f>
        <v>46671</v>
      </c>
      <c r="C25" s="99">
        <f>IF(B25="", "", IF($B$5=13, rekenwaarden!D13, rekenwaarden!I13))</f>
        <v>46698</v>
      </c>
      <c r="D25" s="100">
        <v>120000</v>
      </c>
      <c r="E25" s="100">
        <v>0</v>
      </c>
      <c r="F25" s="66">
        <v>120</v>
      </c>
      <c r="G25" s="66">
        <v>0</v>
      </c>
      <c r="H25" s="66" t="s">
        <v>125</v>
      </c>
      <c r="I25" s="66">
        <v>0</v>
      </c>
      <c r="J25" s="66" t="s">
        <v>125</v>
      </c>
      <c r="K25" s="66">
        <v>0</v>
      </c>
      <c r="L25" s="101">
        <v>40</v>
      </c>
      <c r="M25" s="98">
        <f t="shared" si="0"/>
        <v>46671</v>
      </c>
      <c r="N25" s="98">
        <f t="shared" si="1"/>
        <v>46698</v>
      </c>
      <c r="O25" s="97">
        <f t="shared" si="15"/>
        <v>28</v>
      </c>
      <c r="P25" s="102">
        <f t="shared" si="2"/>
        <v>1</v>
      </c>
      <c r="Q25" s="103">
        <f t="shared" si="16"/>
        <v>7.6923076923076927E-2</v>
      </c>
      <c r="R25" s="143">
        <f t="shared" si="17"/>
        <v>160</v>
      </c>
      <c r="S25" s="105">
        <f t="shared" si="3"/>
        <v>120</v>
      </c>
      <c r="T25" s="106" t="b">
        <f t="shared" si="4"/>
        <v>1</v>
      </c>
      <c r="U25" s="107">
        <f t="shared" si="18"/>
        <v>0.75</v>
      </c>
      <c r="V25" s="164">
        <f t="shared" si="19"/>
        <v>0</v>
      </c>
      <c r="W25" s="184">
        <f t="shared" si="20"/>
        <v>0</v>
      </c>
      <c r="X25" s="184">
        <f t="shared" si="21"/>
        <v>120000</v>
      </c>
      <c r="Y25" s="184">
        <f t="shared" si="5"/>
        <v>19172</v>
      </c>
      <c r="Z25" s="184">
        <f t="shared" si="6"/>
        <v>75000</v>
      </c>
      <c r="AA25" s="184">
        <f t="shared" si="7"/>
        <v>137800</v>
      </c>
      <c r="AB25" s="189">
        <f t="shared" si="22"/>
        <v>55828</v>
      </c>
      <c r="AC25" s="109">
        <f t="shared" si="23"/>
        <v>3220.8461538461538</v>
      </c>
      <c r="AD25" s="109">
        <f t="shared" si="24"/>
        <v>0</v>
      </c>
      <c r="AE25" s="110">
        <f t="shared" si="8"/>
        <v>901.19275384615378</v>
      </c>
      <c r="AF25" s="168">
        <f t="shared" si="9"/>
        <v>0</v>
      </c>
      <c r="AG25" s="109">
        <f t="shared" si="25"/>
        <v>901.19275384615378</v>
      </c>
      <c r="AH25" s="173">
        <f t="shared" si="10"/>
        <v>45000</v>
      </c>
      <c r="AI25" s="109">
        <f t="shared" si="11"/>
        <v>2596.1538461538462</v>
      </c>
      <c r="AJ25" s="109">
        <f t="shared" si="12"/>
        <v>726.40384615384619</v>
      </c>
      <c r="AK25" s="110">
        <v>18000</v>
      </c>
      <c r="AL25" s="168">
        <f>AK25/1000*VLOOKUP(leeftijd_deelnemer,'premie ANW-hiaat'!A$2:C$54,2,0)*VLOOKUP(leeftijd_partner,'premie ANW-hiaat'!A$2:C$54,3,0)*Q25</f>
        <v>30.666600000000003</v>
      </c>
      <c r="AM25" s="109">
        <f t="shared" si="26"/>
        <v>901.19275384615378</v>
      </c>
      <c r="AN25" s="109">
        <f t="shared" si="27"/>
        <v>726.40384615384619</v>
      </c>
      <c r="AO25" s="168">
        <f t="shared" si="28"/>
        <v>30.666600000000003</v>
      </c>
      <c r="AP25" s="109">
        <f t="shared" si="29"/>
        <v>1658.2631999999999</v>
      </c>
    </row>
    <row r="26" spans="1:42" s="33" customFormat="1" ht="12.75" x14ac:dyDescent="0.2">
      <c r="A26" s="97">
        <f>IF(AND($B$5=12, COUNTIF($A$14:A25, 12)&gt;1), "",IF(OR(AND($B$5=12, A25=12),AND($B$5=13, A25=13), A25 = "Periode"), 1, A25+1))</f>
        <v>12</v>
      </c>
      <c r="B26" s="98">
        <f>IF(OR(IF($B$5=13, rekenwaarden!D14, rekenwaarden!I14)&lt;$B$6,IF($B$5=13, rekenwaarden!C14, rekenwaarden!H14)&gt;$B$7),"",IF(A26="", "", IF($B$5=13, rekenwaarden!C14, rekenwaarden!H14)))</f>
        <v>46699</v>
      </c>
      <c r="C26" s="99">
        <f>IF(B26="", "", IF($B$5=13, rekenwaarden!D14, rekenwaarden!I14))</f>
        <v>46726</v>
      </c>
      <c r="D26" s="100">
        <v>120000</v>
      </c>
      <c r="E26" s="100">
        <v>0</v>
      </c>
      <c r="F26" s="66">
        <v>120</v>
      </c>
      <c r="G26" s="66">
        <v>0</v>
      </c>
      <c r="H26" s="66" t="s">
        <v>125</v>
      </c>
      <c r="I26" s="66">
        <v>0</v>
      </c>
      <c r="J26" s="66" t="s">
        <v>125</v>
      </c>
      <c r="K26" s="66">
        <v>0</v>
      </c>
      <c r="L26" s="101">
        <v>40</v>
      </c>
      <c r="M26" s="98">
        <f t="shared" si="0"/>
        <v>46699</v>
      </c>
      <c r="N26" s="98">
        <f t="shared" si="1"/>
        <v>46726</v>
      </c>
      <c r="O26" s="97">
        <f t="shared" si="15"/>
        <v>28</v>
      </c>
      <c r="P26" s="102">
        <f t="shared" si="2"/>
        <v>1</v>
      </c>
      <c r="Q26" s="103">
        <f t="shared" si="16"/>
        <v>7.6923076923076927E-2</v>
      </c>
      <c r="R26" s="143">
        <f t="shared" si="17"/>
        <v>160</v>
      </c>
      <c r="S26" s="105">
        <f t="shared" si="3"/>
        <v>120</v>
      </c>
      <c r="T26" s="106" t="b">
        <f t="shared" si="4"/>
        <v>1</v>
      </c>
      <c r="U26" s="107">
        <f t="shared" si="18"/>
        <v>0.75</v>
      </c>
      <c r="V26" s="164">
        <f t="shared" si="19"/>
        <v>0</v>
      </c>
      <c r="W26" s="184">
        <f>(E26/U26)/Q26</f>
        <v>0</v>
      </c>
      <c r="X26" s="184">
        <f>W26+D26</f>
        <v>120000</v>
      </c>
      <c r="Y26" s="184">
        <f t="shared" si="5"/>
        <v>19172</v>
      </c>
      <c r="Z26" s="184">
        <f t="shared" si="6"/>
        <v>75000</v>
      </c>
      <c r="AA26" s="184">
        <f t="shared" si="7"/>
        <v>137800</v>
      </c>
      <c r="AB26" s="189">
        <f t="shared" si="22"/>
        <v>55828</v>
      </c>
      <c r="AC26" s="109">
        <f t="shared" si="23"/>
        <v>3220.8461538461538</v>
      </c>
      <c r="AD26" s="109">
        <f t="shared" si="24"/>
        <v>0</v>
      </c>
      <c r="AE26" s="110">
        <f t="shared" si="8"/>
        <v>901.19275384615378</v>
      </c>
      <c r="AF26" s="168">
        <f t="shared" si="9"/>
        <v>0</v>
      </c>
      <c r="AG26" s="109">
        <f t="shared" si="25"/>
        <v>901.19275384615378</v>
      </c>
      <c r="AH26" s="173">
        <f t="shared" si="10"/>
        <v>45000</v>
      </c>
      <c r="AI26" s="109">
        <f t="shared" si="11"/>
        <v>2596.1538461538462</v>
      </c>
      <c r="AJ26" s="109">
        <f t="shared" si="12"/>
        <v>726.40384615384619</v>
      </c>
      <c r="AK26" s="110">
        <v>18000</v>
      </c>
      <c r="AL26" s="168">
        <f>AK26/1000*VLOOKUP(leeftijd_deelnemer,'premie ANW-hiaat'!A$2:C$54,2,0)*VLOOKUP(leeftijd_partner,'premie ANW-hiaat'!A$2:C$54,3,0)*Q26</f>
        <v>30.666600000000003</v>
      </c>
      <c r="AM26" s="109">
        <f t="shared" si="26"/>
        <v>901.19275384615378</v>
      </c>
      <c r="AN26" s="109">
        <f t="shared" si="27"/>
        <v>726.40384615384619</v>
      </c>
      <c r="AO26" s="168">
        <f t="shared" si="28"/>
        <v>30.666600000000003</v>
      </c>
      <c r="AP26" s="109">
        <f t="shared" si="29"/>
        <v>1658.2631999999999</v>
      </c>
    </row>
    <row r="27" spans="1:42" s="63" customFormat="1" ht="12.75" x14ac:dyDescent="0.2">
      <c r="A27" s="144">
        <f>IF(AND($B$5=12, COUNTIF($A$14:A26, 12)&gt;1), "",IF(OR(AND($B$5=12, A26=12),AND($B$5=13, A26=13), A26 = "Periode"), 1, A26+1))</f>
        <v>13</v>
      </c>
      <c r="B27" s="145">
        <f>IF(OR(IF($B$5=13, rekenwaarden!D15, rekenwaarden!I15)&lt;$B$6,IF($B$5=13, rekenwaarden!C15, rekenwaarden!H15)&gt;$B$7),"",IF(A27="", "", IF($B$5=13, rekenwaarden!C15, rekenwaarden!H15)))</f>
        <v>46727</v>
      </c>
      <c r="C27" s="146">
        <f>IF(B27="", "", IF($B$5=13, rekenwaarden!D15, rekenwaarden!I15))</f>
        <v>46752</v>
      </c>
      <c r="D27" s="147">
        <v>120000</v>
      </c>
      <c r="E27" s="147">
        <v>500</v>
      </c>
      <c r="F27" s="148">
        <v>190</v>
      </c>
      <c r="G27" s="148">
        <v>0</v>
      </c>
      <c r="H27" s="148" t="s">
        <v>125</v>
      </c>
      <c r="I27" s="148">
        <v>0</v>
      </c>
      <c r="J27" s="148" t="s">
        <v>125</v>
      </c>
      <c r="K27" s="148">
        <v>0</v>
      </c>
      <c r="L27" s="149">
        <v>40</v>
      </c>
      <c r="M27" s="145">
        <f t="shared" si="0"/>
        <v>46727</v>
      </c>
      <c r="N27" s="145">
        <f t="shared" si="1"/>
        <v>46752</v>
      </c>
      <c r="O27" s="144">
        <f t="shared" si="15"/>
        <v>26</v>
      </c>
      <c r="P27" s="150">
        <f t="shared" si="2"/>
        <v>1</v>
      </c>
      <c r="Q27" s="151">
        <f t="shared" si="16"/>
        <v>7.6923076923076927E-2</v>
      </c>
      <c r="R27" s="152">
        <f t="shared" si="17"/>
        <v>160</v>
      </c>
      <c r="S27" s="153">
        <f t="shared" si="3"/>
        <v>160</v>
      </c>
      <c r="T27" s="154" t="b">
        <f t="shared" si="4"/>
        <v>1</v>
      </c>
      <c r="U27" s="155">
        <f t="shared" si="18"/>
        <v>1</v>
      </c>
      <c r="V27" s="183">
        <f t="shared" si="19"/>
        <v>0</v>
      </c>
      <c r="W27" s="186">
        <f>(E27/U27)/Q27</f>
        <v>6500</v>
      </c>
      <c r="X27" s="186">
        <f t="shared" si="21"/>
        <v>126500</v>
      </c>
      <c r="Y27" s="186">
        <f>franchise2027</f>
        <v>19172</v>
      </c>
      <c r="Z27" s="187">
        <f>MIN(maxloon2027+W27, maxloonexc2027)</f>
        <v>81500</v>
      </c>
      <c r="AA27" s="186">
        <f>maxloonexc2027</f>
        <v>137800</v>
      </c>
      <c r="AB27" s="190">
        <f t="shared" si="22"/>
        <v>62328</v>
      </c>
      <c r="AC27" s="156">
        <f t="shared" si="23"/>
        <v>4794.461538461539</v>
      </c>
      <c r="AD27" s="156">
        <f t="shared" si="24"/>
        <v>0</v>
      </c>
      <c r="AE27" s="157">
        <f t="shared" si="8"/>
        <v>1341.4903384615386</v>
      </c>
      <c r="AF27" s="192">
        <f t="shared" si="9"/>
        <v>0</v>
      </c>
      <c r="AG27" s="156">
        <f t="shared" si="25"/>
        <v>1341.4903384615386</v>
      </c>
      <c r="AH27" s="193">
        <f t="shared" si="10"/>
        <v>45000</v>
      </c>
      <c r="AI27" s="156">
        <f t="shared" si="11"/>
        <v>3461.5384615384619</v>
      </c>
      <c r="AJ27" s="156">
        <f t="shared" si="12"/>
        <v>968.53846153846166</v>
      </c>
      <c r="AK27" s="157">
        <v>18000</v>
      </c>
      <c r="AL27" s="192">
        <f>AK27/1000*VLOOKUP(leeftijd_deelnemer,'premie ANW-hiaat'!A$2:C$54,2,0)*VLOOKUP(leeftijd_partner,'premie ANW-hiaat'!A$2:C$54,3,0)*Q27</f>
        <v>30.666600000000003</v>
      </c>
      <c r="AM27" s="156">
        <f t="shared" si="26"/>
        <v>1341.4903384615386</v>
      </c>
      <c r="AN27" s="156">
        <f t="shared" si="27"/>
        <v>968.53846153846166</v>
      </c>
      <c r="AO27" s="192">
        <f t="shared" si="28"/>
        <v>30.666600000000003</v>
      </c>
      <c r="AP27" s="156">
        <f t="shared" si="29"/>
        <v>2340.6954000000001</v>
      </c>
    </row>
    <row r="28" spans="1:42" s="33" customFormat="1" ht="12.75" x14ac:dyDescent="0.2">
      <c r="A28" s="97">
        <f>IF(AND($B$5=12, COUNTIF($A$14:A27, 12)&gt;1), "",IF(OR(AND($B$5=12, A27=12),AND($B$5=13, A27=13), A27 = "Periode"), 1, A27+1))</f>
        <v>1</v>
      </c>
      <c r="B28" s="98">
        <f>IF(OR(IF($B$5=13, rekenwaarden!D16, rekenwaarden!I16)&lt;$B$6,IF($B$5=13, rekenwaarden!C16, rekenwaarden!H16)&gt;$B$7),"",IF(A28="", "", IF($B$5=13, rekenwaarden!C16, rekenwaarden!H16)))</f>
        <v>46753</v>
      </c>
      <c r="C28" s="99">
        <f>IF(B28="", "", IF($B$5=13, rekenwaarden!D16, rekenwaarden!I16))</f>
        <v>46782</v>
      </c>
      <c r="D28" s="100">
        <v>140000</v>
      </c>
      <c r="E28" s="100">
        <v>0</v>
      </c>
      <c r="F28" s="66">
        <v>100</v>
      </c>
      <c r="G28" s="66">
        <v>0</v>
      </c>
      <c r="H28" s="66" t="s">
        <v>125</v>
      </c>
      <c r="I28" s="66">
        <v>0</v>
      </c>
      <c r="J28" s="66" t="s">
        <v>125</v>
      </c>
      <c r="K28" s="66">
        <v>0</v>
      </c>
      <c r="L28" s="101">
        <v>40</v>
      </c>
      <c r="M28" s="98">
        <f t="shared" si="0"/>
        <v>46753</v>
      </c>
      <c r="N28" s="98">
        <f t="shared" si="1"/>
        <v>46782</v>
      </c>
      <c r="O28" s="97">
        <f t="shared" si="15"/>
        <v>30</v>
      </c>
      <c r="P28" s="102">
        <f t="shared" si="2"/>
        <v>1</v>
      </c>
      <c r="Q28" s="103">
        <f t="shared" si="16"/>
        <v>7.6923076923076927E-2</v>
      </c>
      <c r="R28" s="143">
        <f t="shared" si="17"/>
        <v>160</v>
      </c>
      <c r="S28" s="105">
        <f t="shared" si="3"/>
        <v>100</v>
      </c>
      <c r="T28" s="106" t="b">
        <f t="shared" si="4"/>
        <v>1</v>
      </c>
      <c r="U28" s="107">
        <f t="shared" si="18"/>
        <v>0.625</v>
      </c>
      <c r="V28" s="164">
        <f t="shared" si="19"/>
        <v>0</v>
      </c>
      <c r="W28" s="184">
        <f t="shared" si="20"/>
        <v>0</v>
      </c>
      <c r="X28" s="184">
        <f t="shared" si="21"/>
        <v>140000</v>
      </c>
      <c r="Y28" s="184">
        <f t="shared" ref="Y28:Y40" si="30">franchise2028</f>
        <v>19172</v>
      </c>
      <c r="Z28" s="184">
        <f t="shared" ref="Z28:Z38" si="31">MIN(maxloon2028+W28, maxloonexc2028)</f>
        <v>95000</v>
      </c>
      <c r="AA28" s="184">
        <f t="shared" ref="AA28:AA40" si="32">maxloonexc2028</f>
        <v>137800</v>
      </c>
      <c r="AB28" s="189">
        <f t="shared" si="22"/>
        <v>75828</v>
      </c>
      <c r="AC28" s="109">
        <f t="shared" si="23"/>
        <v>3645.5769230769233</v>
      </c>
      <c r="AD28" s="109">
        <f t="shared" si="24"/>
        <v>0</v>
      </c>
      <c r="AE28" s="110">
        <f t="shared" ref="AE28:AE40" si="33">AC28*premiepct2028</f>
        <v>1020.0324230769231</v>
      </c>
      <c r="AF28" s="168">
        <f t="shared" ref="AF28:AF40" si="34">AD28*premiepct2028*premiekort_ouderschapsverlof2028</f>
        <v>0</v>
      </c>
      <c r="AG28" s="109">
        <f t="shared" si="25"/>
        <v>1020.0324230769231</v>
      </c>
      <c r="AH28" s="173">
        <f t="shared" si="10"/>
        <v>42800</v>
      </c>
      <c r="AI28" s="109">
        <f t="shared" si="11"/>
        <v>2057.6923076923076</v>
      </c>
      <c r="AJ28" s="109">
        <f t="shared" ref="AJ28:AJ40" si="35">IF(exc_regeling_jn,AI28*gekozen_premie_exc2028,"")</f>
        <v>575.74230769230769</v>
      </c>
      <c r="AK28" s="110">
        <v>18000</v>
      </c>
      <c r="AL28" s="168">
        <f>AK28/1000*VLOOKUP(leeftijd_deelnemer+1,'premie ANW-hiaat'!A$2:C$54,2,0)*VLOOKUP(leeftijd_partner+1,'premie ANW-hiaat'!A$2:C$54,3,0)*Q28</f>
        <v>33.242358461538466</v>
      </c>
      <c r="AM28" s="109">
        <f t="shared" si="26"/>
        <v>1020.0324230769231</v>
      </c>
      <c r="AN28" s="109">
        <f t="shared" si="27"/>
        <v>575.74230769230769</v>
      </c>
      <c r="AO28" s="168">
        <f t="shared" si="28"/>
        <v>33.242358461538466</v>
      </c>
      <c r="AP28" s="109">
        <f t="shared" si="29"/>
        <v>1629.0170892307692</v>
      </c>
    </row>
    <row r="29" spans="1:42" s="33" customFormat="1" ht="12.75" x14ac:dyDescent="0.2">
      <c r="A29" s="97">
        <f>IF(AND($B$5=12, COUNTIF($A$14:A28, 12)&gt;1), "",IF(OR(AND($B$5=12, A28=12),AND($B$5=13, A28=13), A28 = "Periode"), 1, A28+1))</f>
        <v>2</v>
      </c>
      <c r="B29" s="98">
        <f>IF(OR(IF($B$5=13, rekenwaarden!D17, rekenwaarden!I17)&lt;$B$6,IF($B$5=13, rekenwaarden!C17, rekenwaarden!H17)&gt;$B$7),"",IF(A29="", "", IF($B$5=13, rekenwaarden!C17, rekenwaarden!H17)))</f>
        <v>46783</v>
      </c>
      <c r="C29" s="99">
        <f>IF(B29="", "", IF($B$5=13, rekenwaarden!D17, rekenwaarden!I17))</f>
        <v>46810</v>
      </c>
      <c r="D29" s="100">
        <v>140000</v>
      </c>
      <c r="E29" s="100">
        <v>0</v>
      </c>
      <c r="F29" s="66">
        <v>100</v>
      </c>
      <c r="G29" s="66">
        <v>0</v>
      </c>
      <c r="H29" s="66" t="s">
        <v>125</v>
      </c>
      <c r="I29" s="66">
        <v>0</v>
      </c>
      <c r="J29" s="66" t="s">
        <v>125</v>
      </c>
      <c r="K29" s="66">
        <v>0</v>
      </c>
      <c r="L29" s="101">
        <v>40</v>
      </c>
      <c r="M29" s="98">
        <f t="shared" si="0"/>
        <v>46783</v>
      </c>
      <c r="N29" s="98">
        <f t="shared" si="1"/>
        <v>46810</v>
      </c>
      <c r="O29" s="97">
        <f t="shared" si="15"/>
        <v>28</v>
      </c>
      <c r="P29" s="102">
        <f t="shared" si="2"/>
        <v>1</v>
      </c>
      <c r="Q29" s="103">
        <f t="shared" si="16"/>
        <v>7.6923076923076927E-2</v>
      </c>
      <c r="R29" s="143">
        <f t="shared" si="17"/>
        <v>160</v>
      </c>
      <c r="S29" s="105">
        <f t="shared" si="3"/>
        <v>100</v>
      </c>
      <c r="T29" s="106" t="b">
        <f t="shared" si="4"/>
        <v>1</v>
      </c>
      <c r="U29" s="107">
        <f t="shared" si="18"/>
        <v>0.625</v>
      </c>
      <c r="V29" s="164">
        <f t="shared" si="19"/>
        <v>0</v>
      </c>
      <c r="W29" s="184">
        <f>(E29/U29)/Q29</f>
        <v>0</v>
      </c>
      <c r="X29" s="184">
        <f t="shared" si="21"/>
        <v>140000</v>
      </c>
      <c r="Y29" s="184">
        <f t="shared" si="30"/>
        <v>19172</v>
      </c>
      <c r="Z29" s="184">
        <f t="shared" si="31"/>
        <v>95000</v>
      </c>
      <c r="AA29" s="184">
        <f t="shared" si="32"/>
        <v>137800</v>
      </c>
      <c r="AB29" s="189">
        <f t="shared" si="22"/>
        <v>75828</v>
      </c>
      <c r="AC29" s="109">
        <f t="shared" si="23"/>
        <v>3645.5769230769233</v>
      </c>
      <c r="AD29" s="109">
        <f t="shared" si="24"/>
        <v>0</v>
      </c>
      <c r="AE29" s="110">
        <f t="shared" si="33"/>
        <v>1020.0324230769231</v>
      </c>
      <c r="AF29" s="168">
        <f t="shared" si="34"/>
        <v>0</v>
      </c>
      <c r="AG29" s="109">
        <f t="shared" si="25"/>
        <v>1020.0324230769231</v>
      </c>
      <c r="AH29" s="173">
        <f t="shared" si="10"/>
        <v>42800</v>
      </c>
      <c r="AI29" s="109">
        <f t="shared" si="11"/>
        <v>2057.6923076923076</v>
      </c>
      <c r="AJ29" s="109">
        <f t="shared" si="35"/>
        <v>575.74230769230769</v>
      </c>
      <c r="AK29" s="110">
        <v>18000</v>
      </c>
      <c r="AL29" s="168">
        <f>AK29/1000*VLOOKUP(leeftijd_deelnemer+1,'premie ANW-hiaat'!A$2:C$54,2,0)*VLOOKUP(leeftijd_partner+1,'premie ANW-hiaat'!A$2:C$54,3,0)*Q29</f>
        <v>33.242358461538466</v>
      </c>
      <c r="AM29" s="109">
        <f t="shared" si="26"/>
        <v>1020.0324230769231</v>
      </c>
      <c r="AN29" s="109">
        <f t="shared" si="27"/>
        <v>575.74230769230769</v>
      </c>
      <c r="AO29" s="168">
        <f t="shared" si="28"/>
        <v>33.242358461538466</v>
      </c>
      <c r="AP29" s="109">
        <f t="shared" si="29"/>
        <v>1629.0170892307692</v>
      </c>
    </row>
    <row r="30" spans="1:42" s="33" customFormat="1" ht="12.75" x14ac:dyDescent="0.2">
      <c r="A30" s="97">
        <f>IF(AND($B$5=12, COUNTIF($A$14:A29, 12)&gt;1), "",IF(OR(AND($B$5=12, A29=12),AND($B$5=13, A29=13), A29 = "Periode"), 1, A29+1))</f>
        <v>3</v>
      </c>
      <c r="B30" s="98">
        <f>IF(OR(IF($B$5=13, rekenwaarden!D18, rekenwaarden!I18)&lt;$B$6,IF($B$5=13, rekenwaarden!C18, rekenwaarden!H18)&gt;$B$7),"",IF(A30="", "", IF($B$5=13, rekenwaarden!C18, rekenwaarden!H18)))</f>
        <v>46811</v>
      </c>
      <c r="C30" s="99">
        <f>IF(B30="", "", IF($B$5=13, rekenwaarden!D18, rekenwaarden!I18))</f>
        <v>46838</v>
      </c>
      <c r="D30" s="100">
        <v>140000</v>
      </c>
      <c r="E30" s="100">
        <v>1250</v>
      </c>
      <c r="F30" s="66">
        <v>100</v>
      </c>
      <c r="G30" s="66">
        <v>0</v>
      </c>
      <c r="H30" s="66" t="s">
        <v>125</v>
      </c>
      <c r="I30" s="66">
        <v>0</v>
      </c>
      <c r="J30" s="66" t="s">
        <v>125</v>
      </c>
      <c r="K30" s="66">
        <v>0</v>
      </c>
      <c r="L30" s="101">
        <v>40</v>
      </c>
      <c r="M30" s="98">
        <f t="shared" si="0"/>
        <v>46811</v>
      </c>
      <c r="N30" s="98">
        <f t="shared" si="1"/>
        <v>46838</v>
      </c>
      <c r="O30" s="97">
        <f t="shared" si="15"/>
        <v>28</v>
      </c>
      <c r="P30" s="102">
        <f t="shared" si="2"/>
        <v>1</v>
      </c>
      <c r="Q30" s="103">
        <f t="shared" si="16"/>
        <v>7.6923076923076927E-2</v>
      </c>
      <c r="R30" s="143">
        <f t="shared" si="17"/>
        <v>160</v>
      </c>
      <c r="S30" s="105">
        <f t="shared" si="3"/>
        <v>100</v>
      </c>
      <c r="T30" s="106" t="b">
        <f t="shared" si="4"/>
        <v>1</v>
      </c>
      <c r="U30" s="107">
        <f t="shared" si="18"/>
        <v>0.625</v>
      </c>
      <c r="V30" s="164">
        <f t="shared" si="19"/>
        <v>0</v>
      </c>
      <c r="W30" s="184">
        <f t="shared" si="20"/>
        <v>26000</v>
      </c>
      <c r="X30" s="184">
        <f t="shared" si="21"/>
        <v>166000</v>
      </c>
      <c r="Y30" s="184">
        <f t="shared" si="30"/>
        <v>19172</v>
      </c>
      <c r="Z30" s="184">
        <f t="shared" si="31"/>
        <v>121000</v>
      </c>
      <c r="AA30" s="184">
        <f t="shared" si="32"/>
        <v>137800</v>
      </c>
      <c r="AB30" s="189">
        <f t="shared" si="22"/>
        <v>101828</v>
      </c>
      <c r="AC30" s="109">
        <f t="shared" si="23"/>
        <v>4895.5769230769238</v>
      </c>
      <c r="AD30" s="109">
        <f t="shared" si="24"/>
        <v>0</v>
      </c>
      <c r="AE30" s="110">
        <f t="shared" si="33"/>
        <v>1369.7824230769234</v>
      </c>
      <c r="AF30" s="168">
        <f t="shared" si="34"/>
        <v>0</v>
      </c>
      <c r="AG30" s="109">
        <f t="shared" si="25"/>
        <v>1369.7824230769234</v>
      </c>
      <c r="AH30" s="173">
        <f t="shared" si="10"/>
        <v>16800</v>
      </c>
      <c r="AI30" s="109">
        <f t="shared" si="11"/>
        <v>807.69230769230774</v>
      </c>
      <c r="AJ30" s="109">
        <f t="shared" si="35"/>
        <v>225.99230769230769</v>
      </c>
      <c r="AK30" s="110">
        <v>18000</v>
      </c>
      <c r="AL30" s="168">
        <f>AK30/1000*VLOOKUP(leeftijd_deelnemer+1,'premie ANW-hiaat'!A$2:C$54,2,0)*VLOOKUP(leeftijd_partner+1,'premie ANW-hiaat'!A$2:C$54,3,0)*Q30</f>
        <v>33.242358461538466</v>
      </c>
      <c r="AM30" s="109">
        <f t="shared" si="26"/>
        <v>1369.7824230769234</v>
      </c>
      <c r="AN30" s="109">
        <f t="shared" si="27"/>
        <v>225.99230769230769</v>
      </c>
      <c r="AO30" s="168">
        <f t="shared" si="28"/>
        <v>33.242358461538466</v>
      </c>
      <c r="AP30" s="109">
        <f t="shared" si="29"/>
        <v>1629.0170892307697</v>
      </c>
    </row>
    <row r="31" spans="1:42" s="33" customFormat="1" ht="12.75" x14ac:dyDescent="0.2">
      <c r="A31" s="97">
        <f>IF(AND($B$5=12, COUNTIF($A$14:A30, 12)&gt;1), "",IF(OR(AND($B$5=12, A30=12),AND($B$5=13, A30=13), A30 = "Periode"), 1, A30+1))</f>
        <v>4</v>
      </c>
      <c r="B31" s="98">
        <f>IF(OR(IF($B$5=13, rekenwaarden!D19, rekenwaarden!I19)&lt;$B$6,IF($B$5=13, rekenwaarden!C19, rekenwaarden!H19)&gt;$B$7),"",IF(A31="", "", IF($B$5=13, rekenwaarden!C19, rekenwaarden!H19)))</f>
        <v>46839</v>
      </c>
      <c r="C31" s="99">
        <f>IF(B31="", "", IF($B$5=13, rekenwaarden!D19, rekenwaarden!I19))</f>
        <v>46866</v>
      </c>
      <c r="D31" s="100">
        <v>140000</v>
      </c>
      <c r="E31" s="100">
        <v>1250</v>
      </c>
      <c r="F31" s="66">
        <v>100</v>
      </c>
      <c r="G31" s="66">
        <v>0</v>
      </c>
      <c r="H31" s="66" t="s">
        <v>125</v>
      </c>
      <c r="I31" s="66">
        <v>0</v>
      </c>
      <c r="J31" s="66" t="s">
        <v>125</v>
      </c>
      <c r="K31" s="66">
        <v>0</v>
      </c>
      <c r="L31" s="101">
        <v>40</v>
      </c>
      <c r="M31" s="98">
        <f t="shared" si="0"/>
        <v>46839</v>
      </c>
      <c r="N31" s="98">
        <f t="shared" si="1"/>
        <v>46866</v>
      </c>
      <c r="O31" s="97">
        <f t="shared" si="15"/>
        <v>28</v>
      </c>
      <c r="P31" s="102">
        <f t="shared" si="2"/>
        <v>1</v>
      </c>
      <c r="Q31" s="103">
        <f t="shared" si="16"/>
        <v>7.6923076923076927E-2</v>
      </c>
      <c r="R31" s="143">
        <f t="shared" si="17"/>
        <v>160</v>
      </c>
      <c r="S31" s="105">
        <f t="shared" si="3"/>
        <v>100</v>
      </c>
      <c r="T31" s="106" t="b">
        <f t="shared" si="4"/>
        <v>1</v>
      </c>
      <c r="U31" s="107">
        <f t="shared" si="18"/>
        <v>0.625</v>
      </c>
      <c r="V31" s="164">
        <f t="shared" si="19"/>
        <v>0</v>
      </c>
      <c r="W31" s="184">
        <f t="shared" si="20"/>
        <v>26000</v>
      </c>
      <c r="X31" s="184">
        <f t="shared" si="21"/>
        <v>166000</v>
      </c>
      <c r="Y31" s="184">
        <f t="shared" si="30"/>
        <v>19172</v>
      </c>
      <c r="Z31" s="184">
        <f t="shared" si="31"/>
        <v>121000</v>
      </c>
      <c r="AA31" s="184">
        <f t="shared" si="32"/>
        <v>137800</v>
      </c>
      <c r="AB31" s="189">
        <f t="shared" si="22"/>
        <v>101828</v>
      </c>
      <c r="AC31" s="109">
        <f t="shared" si="23"/>
        <v>4895.5769230769238</v>
      </c>
      <c r="AD31" s="109">
        <f t="shared" si="24"/>
        <v>0</v>
      </c>
      <c r="AE31" s="110">
        <f t="shared" si="33"/>
        <v>1369.7824230769234</v>
      </c>
      <c r="AF31" s="168">
        <f t="shared" si="34"/>
        <v>0</v>
      </c>
      <c r="AG31" s="109">
        <f t="shared" si="25"/>
        <v>1369.7824230769234</v>
      </c>
      <c r="AH31" s="173">
        <f t="shared" si="10"/>
        <v>16800</v>
      </c>
      <c r="AI31" s="109">
        <f t="shared" si="11"/>
        <v>807.69230769230774</v>
      </c>
      <c r="AJ31" s="109">
        <f t="shared" si="35"/>
        <v>225.99230769230769</v>
      </c>
      <c r="AK31" s="110">
        <v>18000</v>
      </c>
      <c r="AL31" s="168">
        <f>AK31/1000*VLOOKUP(leeftijd_deelnemer+1,'premie ANW-hiaat'!A$2:C$54,2,0)*VLOOKUP(leeftijd_partner+1,'premie ANW-hiaat'!A$2:C$54,3,0)*Q31</f>
        <v>33.242358461538466</v>
      </c>
      <c r="AM31" s="109">
        <f t="shared" si="26"/>
        <v>1369.7824230769234</v>
      </c>
      <c r="AN31" s="109">
        <f t="shared" si="27"/>
        <v>225.99230769230769</v>
      </c>
      <c r="AO31" s="168">
        <f t="shared" si="28"/>
        <v>33.242358461538466</v>
      </c>
      <c r="AP31" s="109">
        <f t="shared" si="29"/>
        <v>1629.0170892307697</v>
      </c>
    </row>
    <row r="32" spans="1:42" s="33" customFormat="1" ht="12.75" x14ac:dyDescent="0.2">
      <c r="A32" s="97">
        <f>IF(AND($B$5=12, COUNTIF($A$14:A31, 12)&gt;1), "",IF(OR(AND($B$5=12, A31=12),AND($B$5=13, A31=13), A31 = "Periode"), 1, A31+1))</f>
        <v>5</v>
      </c>
      <c r="B32" s="98">
        <f>IF(OR(IF($B$5=13, rekenwaarden!D20, rekenwaarden!I20)&lt;$B$6,IF($B$5=13, rekenwaarden!C20, rekenwaarden!H20)&gt;$B$7),"",IF(A32="", "", IF($B$5=13, rekenwaarden!C20, rekenwaarden!H20)))</f>
        <v>46867</v>
      </c>
      <c r="C32" s="99">
        <f>IF(B32="", "", IF($B$5=13, rekenwaarden!D20, rekenwaarden!I20))</f>
        <v>46894</v>
      </c>
      <c r="D32" s="100">
        <v>140000</v>
      </c>
      <c r="E32" s="100">
        <v>1250</v>
      </c>
      <c r="F32" s="66">
        <v>100</v>
      </c>
      <c r="G32" s="66">
        <v>0</v>
      </c>
      <c r="H32" s="66" t="s">
        <v>125</v>
      </c>
      <c r="I32" s="66">
        <v>0</v>
      </c>
      <c r="J32" s="66" t="s">
        <v>125</v>
      </c>
      <c r="K32" s="66">
        <v>0</v>
      </c>
      <c r="L32" s="101">
        <v>40</v>
      </c>
      <c r="M32" s="98">
        <f t="shared" si="0"/>
        <v>46867</v>
      </c>
      <c r="N32" s="98">
        <f t="shared" si="1"/>
        <v>46894</v>
      </c>
      <c r="O32" s="97">
        <f t="shared" si="15"/>
        <v>28</v>
      </c>
      <c r="P32" s="102">
        <f t="shared" si="2"/>
        <v>1</v>
      </c>
      <c r="Q32" s="103">
        <f t="shared" si="16"/>
        <v>7.6923076923076927E-2</v>
      </c>
      <c r="R32" s="143">
        <f t="shared" si="17"/>
        <v>160</v>
      </c>
      <c r="S32" s="105">
        <f t="shared" si="3"/>
        <v>100</v>
      </c>
      <c r="T32" s="106" t="b">
        <f t="shared" si="4"/>
        <v>1</v>
      </c>
      <c r="U32" s="107">
        <f t="shared" si="18"/>
        <v>0.625</v>
      </c>
      <c r="V32" s="164">
        <f t="shared" si="19"/>
        <v>0</v>
      </c>
      <c r="W32" s="184">
        <f>(E32/U32)/Q32</f>
        <v>26000</v>
      </c>
      <c r="X32" s="184">
        <f t="shared" si="21"/>
        <v>166000</v>
      </c>
      <c r="Y32" s="184">
        <f t="shared" si="30"/>
        <v>19172</v>
      </c>
      <c r="Z32" s="184">
        <f t="shared" si="31"/>
        <v>121000</v>
      </c>
      <c r="AA32" s="184">
        <f t="shared" si="32"/>
        <v>137800</v>
      </c>
      <c r="AB32" s="189">
        <f t="shared" si="22"/>
        <v>101828</v>
      </c>
      <c r="AC32" s="109">
        <f t="shared" si="23"/>
        <v>4895.5769230769238</v>
      </c>
      <c r="AD32" s="109">
        <f t="shared" si="24"/>
        <v>0</v>
      </c>
      <c r="AE32" s="110">
        <f t="shared" si="33"/>
        <v>1369.7824230769234</v>
      </c>
      <c r="AF32" s="168">
        <f t="shared" si="34"/>
        <v>0</v>
      </c>
      <c r="AG32" s="109">
        <f t="shared" si="25"/>
        <v>1369.7824230769234</v>
      </c>
      <c r="AH32" s="173">
        <f t="shared" si="10"/>
        <v>16800</v>
      </c>
      <c r="AI32" s="109">
        <f t="shared" si="11"/>
        <v>807.69230769230774</v>
      </c>
      <c r="AJ32" s="109">
        <f t="shared" si="35"/>
        <v>225.99230769230769</v>
      </c>
      <c r="AK32" s="110">
        <v>18000</v>
      </c>
      <c r="AL32" s="168">
        <f>AK32/1000*VLOOKUP(leeftijd_deelnemer+1,'premie ANW-hiaat'!A$2:C$54,2,0)*VLOOKUP(leeftijd_partner+1,'premie ANW-hiaat'!A$2:C$54,3,0)*Q32</f>
        <v>33.242358461538466</v>
      </c>
      <c r="AM32" s="109">
        <f t="shared" si="26"/>
        <v>1369.7824230769234</v>
      </c>
      <c r="AN32" s="109">
        <f t="shared" si="27"/>
        <v>225.99230769230769</v>
      </c>
      <c r="AO32" s="168">
        <f t="shared" si="28"/>
        <v>33.242358461538466</v>
      </c>
      <c r="AP32" s="109">
        <f>SUM(AM32:AO32)</f>
        <v>1629.0170892307697</v>
      </c>
    </row>
    <row r="33" spans="1:42" s="33" customFormat="1" ht="12.75" x14ac:dyDescent="0.2">
      <c r="A33" s="97">
        <f>IF(AND($B$5=12, COUNTIF($A$14:A32, 12)&gt;1), "",IF(OR(AND($B$5=12, A32=12),AND($B$5=13, A32=13), A32 = "Periode"), 1, A32+1))</f>
        <v>6</v>
      </c>
      <c r="B33" s="98">
        <f>IF(OR(IF($B$5=13, rekenwaarden!D21, rekenwaarden!I21)&lt;$B$6,IF($B$5=13, rekenwaarden!C21, rekenwaarden!H21)&gt;$B$7),"",IF(A33="", "", IF($B$5=13, rekenwaarden!C21, rekenwaarden!H21)))</f>
        <v>46895</v>
      </c>
      <c r="C33" s="99">
        <f>IF(B33="", "", IF($B$5=13, rekenwaarden!D21, rekenwaarden!I21))</f>
        <v>46922</v>
      </c>
      <c r="D33" s="100">
        <v>140000</v>
      </c>
      <c r="E33" s="100">
        <v>3750</v>
      </c>
      <c r="F33" s="66">
        <v>150</v>
      </c>
      <c r="G33" s="66">
        <v>0</v>
      </c>
      <c r="H33" s="66" t="s">
        <v>125</v>
      </c>
      <c r="I33" s="66">
        <v>0</v>
      </c>
      <c r="J33" s="66" t="s">
        <v>125</v>
      </c>
      <c r="K33" s="66">
        <v>0</v>
      </c>
      <c r="L33" s="101">
        <v>40</v>
      </c>
      <c r="M33" s="98">
        <f t="shared" si="0"/>
        <v>46895</v>
      </c>
      <c r="N33" s="98">
        <f t="shared" si="1"/>
        <v>46922</v>
      </c>
      <c r="O33" s="97">
        <f t="shared" si="15"/>
        <v>28</v>
      </c>
      <c r="P33" s="102">
        <f t="shared" si="2"/>
        <v>1</v>
      </c>
      <c r="Q33" s="103">
        <f t="shared" si="16"/>
        <v>7.6923076923076927E-2</v>
      </c>
      <c r="R33" s="143">
        <f t="shared" si="17"/>
        <v>160</v>
      </c>
      <c r="S33" s="105">
        <f t="shared" si="3"/>
        <v>150</v>
      </c>
      <c r="T33" s="106" t="b">
        <f t="shared" si="4"/>
        <v>1</v>
      </c>
      <c r="U33" s="107">
        <f t="shared" si="18"/>
        <v>0.9375</v>
      </c>
      <c r="V33" s="164">
        <f t="shared" si="19"/>
        <v>0</v>
      </c>
      <c r="W33" s="184">
        <f t="shared" si="20"/>
        <v>52000</v>
      </c>
      <c r="X33" s="184">
        <f t="shared" si="21"/>
        <v>192000</v>
      </c>
      <c r="Y33" s="184">
        <f t="shared" si="30"/>
        <v>19172</v>
      </c>
      <c r="Z33" s="184">
        <f t="shared" si="31"/>
        <v>137800</v>
      </c>
      <c r="AA33" s="184">
        <f t="shared" si="32"/>
        <v>137800</v>
      </c>
      <c r="AB33" s="189">
        <f t="shared" si="22"/>
        <v>118628</v>
      </c>
      <c r="AC33" s="109">
        <f t="shared" si="23"/>
        <v>8554.9038461538457</v>
      </c>
      <c r="AD33" s="109">
        <f t="shared" si="24"/>
        <v>0</v>
      </c>
      <c r="AE33" s="110">
        <f t="shared" si="33"/>
        <v>2393.6620961538461</v>
      </c>
      <c r="AF33" s="168">
        <f t="shared" si="34"/>
        <v>0</v>
      </c>
      <c r="AG33" s="109">
        <f t="shared" si="25"/>
        <v>2393.6620961538461</v>
      </c>
      <c r="AH33" s="173">
        <f t="shared" si="10"/>
        <v>0</v>
      </c>
      <c r="AI33" s="109">
        <f t="shared" si="11"/>
        <v>0</v>
      </c>
      <c r="AJ33" s="109">
        <f t="shared" si="35"/>
        <v>0</v>
      </c>
      <c r="AK33" s="110">
        <v>18000</v>
      </c>
      <c r="AL33" s="168">
        <f>AK33/1000*VLOOKUP(leeftijd_deelnemer+1,'premie ANW-hiaat'!A$2:C$54,2,0)*VLOOKUP(leeftijd_partner+1,'premie ANW-hiaat'!A$2:C$54,3,0)*Q33</f>
        <v>33.242358461538466</v>
      </c>
      <c r="AM33" s="109">
        <f t="shared" si="26"/>
        <v>2393.6620961538461</v>
      </c>
      <c r="AN33" s="109">
        <f t="shared" si="27"/>
        <v>0</v>
      </c>
      <c r="AO33" s="168">
        <f t="shared" si="28"/>
        <v>33.242358461538466</v>
      </c>
      <c r="AP33" s="109">
        <f t="shared" si="29"/>
        <v>2426.9044546153846</v>
      </c>
    </row>
    <row r="34" spans="1:42" s="33" customFormat="1" ht="12.75" x14ac:dyDescent="0.2">
      <c r="A34" s="97">
        <f>IF(AND($B$5=12, COUNTIF($A$14:A33, 12)&gt;1), "",IF(OR(AND($B$5=12, A33=12),AND($B$5=13, A33=13), A33 = "Periode"), 1, A33+1))</f>
        <v>7</v>
      </c>
      <c r="B34" s="98">
        <f>IF(OR(IF($B$5=13, rekenwaarden!D22, rekenwaarden!I22)&lt;$B$6,IF($B$5=13, rekenwaarden!C22, rekenwaarden!H22)&gt;$B$7),"",IF(A34="", "", IF($B$5=13, rekenwaarden!C22, rekenwaarden!H22)))</f>
        <v>46923</v>
      </c>
      <c r="C34" s="99">
        <f>IF(B34="", "", IF($B$5=13, rekenwaarden!D22, rekenwaarden!I22))</f>
        <v>46950</v>
      </c>
      <c r="D34" s="100">
        <v>140000</v>
      </c>
      <c r="E34" s="100">
        <v>3750</v>
      </c>
      <c r="F34" s="66">
        <v>150</v>
      </c>
      <c r="G34" s="66">
        <v>0</v>
      </c>
      <c r="H34" s="66" t="s">
        <v>125</v>
      </c>
      <c r="I34" s="66">
        <v>0</v>
      </c>
      <c r="J34" s="66" t="s">
        <v>125</v>
      </c>
      <c r="K34" s="66">
        <v>0</v>
      </c>
      <c r="L34" s="101">
        <v>40</v>
      </c>
      <c r="M34" s="98">
        <f t="shared" si="0"/>
        <v>46923</v>
      </c>
      <c r="N34" s="98">
        <f t="shared" si="1"/>
        <v>46950</v>
      </c>
      <c r="O34" s="97">
        <f t="shared" si="15"/>
        <v>28</v>
      </c>
      <c r="P34" s="102">
        <f t="shared" si="2"/>
        <v>1</v>
      </c>
      <c r="Q34" s="103">
        <f t="shared" si="16"/>
        <v>7.6923076923076927E-2</v>
      </c>
      <c r="R34" s="143">
        <f t="shared" si="17"/>
        <v>160</v>
      </c>
      <c r="S34" s="105">
        <f t="shared" si="3"/>
        <v>150</v>
      </c>
      <c r="T34" s="106" t="b">
        <f t="shared" si="4"/>
        <v>1</v>
      </c>
      <c r="U34" s="107">
        <f t="shared" si="18"/>
        <v>0.9375</v>
      </c>
      <c r="V34" s="164">
        <f t="shared" si="19"/>
        <v>0</v>
      </c>
      <c r="W34" s="184">
        <f t="shared" si="20"/>
        <v>52000</v>
      </c>
      <c r="X34" s="184">
        <f t="shared" si="21"/>
        <v>192000</v>
      </c>
      <c r="Y34" s="184">
        <f t="shared" si="30"/>
        <v>19172</v>
      </c>
      <c r="Z34" s="184">
        <f t="shared" si="31"/>
        <v>137800</v>
      </c>
      <c r="AA34" s="184">
        <f t="shared" si="32"/>
        <v>137800</v>
      </c>
      <c r="AB34" s="189">
        <f t="shared" si="22"/>
        <v>118628</v>
      </c>
      <c r="AC34" s="109">
        <f t="shared" si="23"/>
        <v>8554.9038461538457</v>
      </c>
      <c r="AD34" s="109">
        <f t="shared" si="24"/>
        <v>0</v>
      </c>
      <c r="AE34" s="110">
        <f t="shared" si="33"/>
        <v>2393.6620961538461</v>
      </c>
      <c r="AF34" s="168">
        <f t="shared" si="34"/>
        <v>0</v>
      </c>
      <c r="AG34" s="109">
        <f t="shared" si="25"/>
        <v>2393.6620961538461</v>
      </c>
      <c r="AH34" s="173">
        <f t="shared" si="10"/>
        <v>0</v>
      </c>
      <c r="AI34" s="109">
        <f t="shared" si="11"/>
        <v>0</v>
      </c>
      <c r="AJ34" s="109">
        <f t="shared" si="35"/>
        <v>0</v>
      </c>
      <c r="AK34" s="110">
        <v>18000</v>
      </c>
      <c r="AL34" s="168">
        <f>AK34/1000*VLOOKUP(leeftijd_deelnemer+1,'premie ANW-hiaat'!A$2:C$54,2,0)*VLOOKUP(leeftijd_partner+1,'premie ANW-hiaat'!A$2:C$54,3,0)*Q34</f>
        <v>33.242358461538466</v>
      </c>
      <c r="AM34" s="109">
        <f t="shared" si="26"/>
        <v>2393.6620961538461</v>
      </c>
      <c r="AN34" s="109">
        <f t="shared" si="27"/>
        <v>0</v>
      </c>
      <c r="AO34" s="168">
        <f t="shared" si="28"/>
        <v>33.242358461538466</v>
      </c>
      <c r="AP34" s="109">
        <f t="shared" si="29"/>
        <v>2426.9044546153846</v>
      </c>
    </row>
    <row r="35" spans="1:42" s="38" customFormat="1" ht="12.75" x14ac:dyDescent="0.2">
      <c r="A35" s="97">
        <f>IF(AND($B$5=12, COUNTIF($A$14:A34, 12)&gt;1), "",IF(OR(AND($B$5=12, A34=12),AND($B$5=13, A34=13), A34 = "Periode"), 1, A34+1))</f>
        <v>8</v>
      </c>
      <c r="B35" s="98">
        <f>IF(OR(IF($B$5=13, rekenwaarden!D23, rekenwaarden!I23)&lt;$B$6,IF($B$5=13, rekenwaarden!C23, rekenwaarden!H23)&gt;$B$7),"",IF(A35="", "", IF($B$5=13, rekenwaarden!C23, rekenwaarden!H23)))</f>
        <v>46951</v>
      </c>
      <c r="C35" s="99">
        <f>IF(B35="", "", IF($B$5=13, rekenwaarden!D23, rekenwaarden!I23))</f>
        <v>46978</v>
      </c>
      <c r="D35" s="100">
        <v>140000</v>
      </c>
      <c r="E35" s="100">
        <v>250</v>
      </c>
      <c r="F35" s="66">
        <v>60</v>
      </c>
      <c r="G35" s="66">
        <v>0</v>
      </c>
      <c r="H35" s="66" t="s">
        <v>125</v>
      </c>
      <c r="I35" s="66">
        <v>0</v>
      </c>
      <c r="J35" s="66" t="s">
        <v>125</v>
      </c>
      <c r="K35" s="66">
        <v>0</v>
      </c>
      <c r="L35" s="101">
        <v>40</v>
      </c>
      <c r="M35" s="98">
        <f t="shared" si="0"/>
        <v>46951</v>
      </c>
      <c r="N35" s="98">
        <f t="shared" si="1"/>
        <v>46978</v>
      </c>
      <c r="O35" s="97">
        <f t="shared" si="15"/>
        <v>28</v>
      </c>
      <c r="P35" s="127">
        <f t="shared" si="2"/>
        <v>1</v>
      </c>
      <c r="Q35" s="103">
        <f t="shared" si="16"/>
        <v>7.6923076923076927E-2</v>
      </c>
      <c r="R35" s="143">
        <f t="shared" si="17"/>
        <v>160</v>
      </c>
      <c r="S35" s="105">
        <f t="shared" si="3"/>
        <v>60</v>
      </c>
      <c r="T35" s="106" t="b">
        <f t="shared" si="4"/>
        <v>1</v>
      </c>
      <c r="U35" s="107">
        <f t="shared" si="18"/>
        <v>0.375</v>
      </c>
      <c r="V35" s="164">
        <f t="shared" si="19"/>
        <v>0</v>
      </c>
      <c r="W35" s="184">
        <f t="shared" si="20"/>
        <v>8666.6666666666661</v>
      </c>
      <c r="X35" s="184">
        <f t="shared" si="21"/>
        <v>148666.66666666666</v>
      </c>
      <c r="Y35" s="184">
        <f t="shared" si="30"/>
        <v>19172</v>
      </c>
      <c r="Z35" s="184">
        <f t="shared" si="31"/>
        <v>103666.66666666667</v>
      </c>
      <c r="AA35" s="184">
        <f t="shared" si="32"/>
        <v>137800</v>
      </c>
      <c r="AB35" s="189">
        <f t="shared" si="22"/>
        <v>84494.666666666672</v>
      </c>
      <c r="AC35" s="109">
        <f t="shared" si="23"/>
        <v>2437.3461538461538</v>
      </c>
      <c r="AD35" s="109">
        <f t="shared" si="24"/>
        <v>0</v>
      </c>
      <c r="AE35" s="110">
        <f t="shared" si="33"/>
        <v>681.96945384615378</v>
      </c>
      <c r="AF35" s="168">
        <f t="shared" si="34"/>
        <v>0</v>
      </c>
      <c r="AG35" s="109">
        <f t="shared" si="25"/>
        <v>681.96945384615378</v>
      </c>
      <c r="AH35" s="173">
        <f t="shared" si="10"/>
        <v>34133.333333333328</v>
      </c>
      <c r="AI35" s="109">
        <f t="shared" si="11"/>
        <v>984.61538461538453</v>
      </c>
      <c r="AJ35" s="109">
        <f t="shared" si="35"/>
        <v>275.49538461538458</v>
      </c>
      <c r="AK35" s="110">
        <v>18000</v>
      </c>
      <c r="AL35" s="168">
        <f>AK35/1000*VLOOKUP(leeftijd_deelnemer+1,'premie ANW-hiaat'!A$2:C$54,2,0)*VLOOKUP(leeftijd_partner+1,'premie ANW-hiaat'!A$2:C$54,3,0)*Q35</f>
        <v>33.242358461538466</v>
      </c>
      <c r="AM35" s="109">
        <f t="shared" si="26"/>
        <v>681.96945384615378</v>
      </c>
      <c r="AN35" s="109">
        <f t="shared" si="27"/>
        <v>275.49538461538458</v>
      </c>
      <c r="AO35" s="168">
        <f t="shared" si="28"/>
        <v>33.242358461538466</v>
      </c>
      <c r="AP35" s="109">
        <f t="shared" si="29"/>
        <v>990.70719692307694</v>
      </c>
    </row>
    <row r="36" spans="1:42" s="38" customFormat="1" ht="12.75" x14ac:dyDescent="0.2">
      <c r="A36" s="97">
        <f>IF(AND($B$5=12, COUNTIF($A$14:A35, 12)&gt;1), "",IF(OR(AND($B$5=12, A35=12),AND($B$5=13, A35=13), A35 = "Periode"), 1, A35+1))</f>
        <v>9</v>
      </c>
      <c r="B36" s="98">
        <f>IF(OR(IF($B$5=13, rekenwaarden!D24, rekenwaarden!I24)&lt;$B$6,IF($B$5=13, rekenwaarden!C24, rekenwaarden!H24)&gt;$B$7),"",IF(A36="", "", IF($B$5=13, rekenwaarden!C24, rekenwaarden!H24)))</f>
        <v>46979</v>
      </c>
      <c r="C36" s="99">
        <f>IF(B36="", "", IF($B$5=13, rekenwaarden!D24, rekenwaarden!I24))</f>
        <v>47006</v>
      </c>
      <c r="D36" s="100">
        <v>140000</v>
      </c>
      <c r="E36" s="100">
        <v>250</v>
      </c>
      <c r="F36" s="66">
        <v>60</v>
      </c>
      <c r="G36" s="66">
        <v>0</v>
      </c>
      <c r="H36" s="66" t="s">
        <v>125</v>
      </c>
      <c r="I36" s="66">
        <v>0</v>
      </c>
      <c r="J36" s="66" t="s">
        <v>125</v>
      </c>
      <c r="K36" s="66">
        <v>0</v>
      </c>
      <c r="L36" s="101">
        <v>40</v>
      </c>
      <c r="M36" s="98">
        <f t="shared" si="0"/>
        <v>46979</v>
      </c>
      <c r="N36" s="98">
        <f t="shared" si="1"/>
        <v>47006</v>
      </c>
      <c r="O36" s="97">
        <f t="shared" si="15"/>
        <v>28</v>
      </c>
      <c r="P36" s="127">
        <f t="shared" si="2"/>
        <v>1</v>
      </c>
      <c r="Q36" s="103">
        <f t="shared" si="16"/>
        <v>7.6923076923076927E-2</v>
      </c>
      <c r="R36" s="143">
        <f t="shared" si="17"/>
        <v>160</v>
      </c>
      <c r="S36" s="105">
        <f t="shared" si="3"/>
        <v>60</v>
      </c>
      <c r="T36" s="106" t="b">
        <f t="shared" si="4"/>
        <v>1</v>
      </c>
      <c r="U36" s="107">
        <f t="shared" si="18"/>
        <v>0.375</v>
      </c>
      <c r="V36" s="164">
        <f t="shared" si="19"/>
        <v>0</v>
      </c>
      <c r="W36" s="184">
        <f t="shared" si="20"/>
        <v>8666.6666666666661</v>
      </c>
      <c r="X36" s="184">
        <f t="shared" si="21"/>
        <v>148666.66666666666</v>
      </c>
      <c r="Y36" s="184">
        <f t="shared" si="30"/>
        <v>19172</v>
      </c>
      <c r="Z36" s="184">
        <f t="shared" si="31"/>
        <v>103666.66666666667</v>
      </c>
      <c r="AA36" s="184">
        <f t="shared" si="32"/>
        <v>137800</v>
      </c>
      <c r="AB36" s="189">
        <f t="shared" si="22"/>
        <v>84494.666666666672</v>
      </c>
      <c r="AC36" s="109">
        <f t="shared" si="23"/>
        <v>2437.3461538461538</v>
      </c>
      <c r="AD36" s="109">
        <f t="shared" si="24"/>
        <v>0</v>
      </c>
      <c r="AE36" s="110">
        <f t="shared" si="33"/>
        <v>681.96945384615378</v>
      </c>
      <c r="AF36" s="168">
        <f t="shared" si="34"/>
        <v>0</v>
      </c>
      <c r="AG36" s="109">
        <f t="shared" si="25"/>
        <v>681.96945384615378</v>
      </c>
      <c r="AH36" s="173">
        <f t="shared" si="10"/>
        <v>34133.333333333328</v>
      </c>
      <c r="AI36" s="109">
        <f t="shared" si="11"/>
        <v>984.61538461538453</v>
      </c>
      <c r="AJ36" s="109">
        <f t="shared" si="35"/>
        <v>275.49538461538458</v>
      </c>
      <c r="AK36" s="110">
        <v>18000</v>
      </c>
      <c r="AL36" s="168">
        <f>AK36/1000*VLOOKUP(leeftijd_deelnemer+1,'premie ANW-hiaat'!A$2:C$54,2,0)*VLOOKUP(leeftijd_partner+1,'premie ANW-hiaat'!A$2:C$54,3,0)*Q36</f>
        <v>33.242358461538466</v>
      </c>
      <c r="AM36" s="109">
        <f t="shared" si="26"/>
        <v>681.96945384615378</v>
      </c>
      <c r="AN36" s="109">
        <f t="shared" si="27"/>
        <v>275.49538461538458</v>
      </c>
      <c r="AO36" s="168">
        <f t="shared" si="28"/>
        <v>33.242358461538466</v>
      </c>
      <c r="AP36" s="109">
        <f t="shared" si="29"/>
        <v>990.70719692307694</v>
      </c>
    </row>
    <row r="37" spans="1:42" s="38" customFormat="1" ht="12.75" x14ac:dyDescent="0.2">
      <c r="A37" s="97">
        <f>IF(AND($B$5=12, COUNTIF($A$14:A36, 12)&gt;1), "",IF(OR(AND($B$5=12, A36=12),AND($B$5=13, A36=13), A36 = "Periode"), 1, A36+1))</f>
        <v>10</v>
      </c>
      <c r="B37" s="98">
        <f>IF(OR(IF($B$5=13, rekenwaarden!D25, rekenwaarden!I25)&lt;$B$6,IF($B$5=13, rekenwaarden!C25, rekenwaarden!H25)&gt;$B$7),"",IF(A37="", "", IF($B$5=13, rekenwaarden!C25, rekenwaarden!H25)))</f>
        <v>47007</v>
      </c>
      <c r="C37" s="99">
        <f>IF(B37="", "", IF($B$5=13, rekenwaarden!D25, rekenwaarden!I25))</f>
        <v>47034</v>
      </c>
      <c r="D37" s="100">
        <v>140000</v>
      </c>
      <c r="E37" s="100">
        <v>0</v>
      </c>
      <c r="F37" s="66">
        <v>100</v>
      </c>
      <c r="G37" s="66">
        <v>0</v>
      </c>
      <c r="H37" s="66" t="s">
        <v>125</v>
      </c>
      <c r="I37" s="66">
        <v>0</v>
      </c>
      <c r="J37" s="66" t="s">
        <v>125</v>
      </c>
      <c r="K37" s="66">
        <v>0</v>
      </c>
      <c r="L37" s="101">
        <v>40</v>
      </c>
      <c r="M37" s="98">
        <f t="shared" si="0"/>
        <v>47007</v>
      </c>
      <c r="N37" s="98">
        <f t="shared" si="1"/>
        <v>47034</v>
      </c>
      <c r="O37" s="97">
        <f t="shared" si="15"/>
        <v>28</v>
      </c>
      <c r="P37" s="127">
        <f t="shared" si="2"/>
        <v>1</v>
      </c>
      <c r="Q37" s="103">
        <f t="shared" si="16"/>
        <v>7.6923076923076927E-2</v>
      </c>
      <c r="R37" s="143">
        <f t="shared" si="17"/>
        <v>160</v>
      </c>
      <c r="S37" s="105">
        <f t="shared" si="3"/>
        <v>100</v>
      </c>
      <c r="T37" s="106" t="b">
        <f t="shared" si="4"/>
        <v>1</v>
      </c>
      <c r="U37" s="107">
        <f t="shared" si="18"/>
        <v>0.625</v>
      </c>
      <c r="V37" s="164">
        <f t="shared" si="19"/>
        <v>0</v>
      </c>
      <c r="W37" s="184">
        <f t="shared" si="20"/>
        <v>0</v>
      </c>
      <c r="X37" s="184">
        <f t="shared" si="21"/>
        <v>140000</v>
      </c>
      <c r="Y37" s="184">
        <f t="shared" si="30"/>
        <v>19172</v>
      </c>
      <c r="Z37" s="184">
        <f t="shared" si="31"/>
        <v>95000</v>
      </c>
      <c r="AA37" s="184">
        <f t="shared" si="32"/>
        <v>137800</v>
      </c>
      <c r="AB37" s="189">
        <f t="shared" si="22"/>
        <v>75828</v>
      </c>
      <c r="AC37" s="109">
        <f t="shared" si="23"/>
        <v>3645.5769230769233</v>
      </c>
      <c r="AD37" s="109">
        <f t="shared" si="24"/>
        <v>0</v>
      </c>
      <c r="AE37" s="110">
        <f t="shared" si="33"/>
        <v>1020.0324230769231</v>
      </c>
      <c r="AF37" s="168">
        <f t="shared" si="34"/>
        <v>0</v>
      </c>
      <c r="AG37" s="109">
        <f t="shared" si="25"/>
        <v>1020.0324230769231</v>
      </c>
      <c r="AH37" s="173">
        <f t="shared" si="10"/>
        <v>42800</v>
      </c>
      <c r="AI37" s="109">
        <f t="shared" si="11"/>
        <v>2057.6923076923076</v>
      </c>
      <c r="AJ37" s="109">
        <f t="shared" si="35"/>
        <v>575.74230769230769</v>
      </c>
      <c r="AK37" s="110">
        <v>18000</v>
      </c>
      <c r="AL37" s="168">
        <f>AK37/1000*VLOOKUP(leeftijd_deelnemer+1,'premie ANW-hiaat'!A$2:C$54,2,0)*VLOOKUP(leeftijd_partner+1,'premie ANW-hiaat'!A$2:C$54,3,0)*Q37</f>
        <v>33.242358461538466</v>
      </c>
      <c r="AM37" s="109">
        <f t="shared" si="26"/>
        <v>1020.0324230769231</v>
      </c>
      <c r="AN37" s="109">
        <f t="shared" si="27"/>
        <v>575.74230769230769</v>
      </c>
      <c r="AO37" s="168">
        <f t="shared" si="28"/>
        <v>33.242358461538466</v>
      </c>
      <c r="AP37" s="109">
        <f t="shared" si="29"/>
        <v>1629.0170892307692</v>
      </c>
    </row>
    <row r="38" spans="1:42" s="38" customFormat="1" ht="12.75" x14ac:dyDescent="0.2">
      <c r="A38" s="97">
        <f>IF(AND($B$5=12, COUNTIF($A$14:A37, 12)&gt;1), "",IF(OR(AND($B$5=12, A37=12),AND($B$5=13, A37=13), A37 = "Periode"), 1, A37+1))</f>
        <v>11</v>
      </c>
      <c r="B38" s="98">
        <f>IF(OR(IF($B$5=13, rekenwaarden!D26, rekenwaarden!I26)&lt;$B$6,IF($B$5=13, rekenwaarden!C26, rekenwaarden!H26)&gt;$B$7),"",IF(A38="", "", IF($B$5=13, rekenwaarden!C26, rekenwaarden!H26)))</f>
        <v>47035</v>
      </c>
      <c r="C38" s="99">
        <f>IF(B38="", "", IF($B$5=13, rekenwaarden!D26, rekenwaarden!I26))</f>
        <v>47062</v>
      </c>
      <c r="D38" s="100">
        <v>85000</v>
      </c>
      <c r="E38" s="100">
        <v>0</v>
      </c>
      <c r="F38" s="66">
        <v>100</v>
      </c>
      <c r="G38" s="66">
        <v>0</v>
      </c>
      <c r="H38" s="66" t="s">
        <v>125</v>
      </c>
      <c r="I38" s="66">
        <v>0</v>
      </c>
      <c r="J38" s="66" t="s">
        <v>125</v>
      </c>
      <c r="K38" s="66">
        <v>0</v>
      </c>
      <c r="L38" s="101">
        <v>40</v>
      </c>
      <c r="M38" s="98">
        <f t="shared" si="0"/>
        <v>47035</v>
      </c>
      <c r="N38" s="98">
        <f t="shared" si="1"/>
        <v>47062</v>
      </c>
      <c r="O38" s="97">
        <f t="shared" si="15"/>
        <v>28</v>
      </c>
      <c r="P38" s="127">
        <f t="shared" si="2"/>
        <v>1</v>
      </c>
      <c r="Q38" s="103">
        <f t="shared" si="16"/>
        <v>7.6923076923076927E-2</v>
      </c>
      <c r="R38" s="143">
        <f t="shared" si="17"/>
        <v>160</v>
      </c>
      <c r="S38" s="105">
        <f t="shared" si="3"/>
        <v>100</v>
      </c>
      <c r="T38" s="106" t="b">
        <f t="shared" si="4"/>
        <v>1</v>
      </c>
      <c r="U38" s="107">
        <f t="shared" si="18"/>
        <v>0.625</v>
      </c>
      <c r="V38" s="164">
        <f t="shared" si="19"/>
        <v>0</v>
      </c>
      <c r="W38" s="184">
        <f t="shared" si="20"/>
        <v>0</v>
      </c>
      <c r="X38" s="184">
        <f t="shared" si="21"/>
        <v>85000</v>
      </c>
      <c r="Y38" s="184">
        <f t="shared" si="30"/>
        <v>19172</v>
      </c>
      <c r="Z38" s="184">
        <f t="shared" si="31"/>
        <v>95000</v>
      </c>
      <c r="AA38" s="184">
        <f t="shared" si="32"/>
        <v>137800</v>
      </c>
      <c r="AB38" s="189">
        <f t="shared" si="22"/>
        <v>65828</v>
      </c>
      <c r="AC38" s="109">
        <f t="shared" si="23"/>
        <v>3164.8076923076924</v>
      </c>
      <c r="AD38" s="109">
        <f t="shared" si="24"/>
        <v>0</v>
      </c>
      <c r="AE38" s="110">
        <f t="shared" si="33"/>
        <v>885.51319230769229</v>
      </c>
      <c r="AF38" s="168">
        <f t="shared" si="34"/>
        <v>0</v>
      </c>
      <c r="AG38" s="109">
        <f t="shared" si="25"/>
        <v>885.51319230769229</v>
      </c>
      <c r="AH38" s="173">
        <f t="shared" si="10"/>
        <v>0</v>
      </c>
      <c r="AI38" s="109">
        <f t="shared" si="11"/>
        <v>0</v>
      </c>
      <c r="AJ38" s="109">
        <f t="shared" si="35"/>
        <v>0</v>
      </c>
      <c r="AK38" s="110">
        <v>18000</v>
      </c>
      <c r="AL38" s="168">
        <f>AK38/1000*VLOOKUP(leeftijd_deelnemer+1,'premie ANW-hiaat'!A$2:C$54,2,0)*VLOOKUP(leeftijd_partner+1,'premie ANW-hiaat'!A$2:C$54,3,0)*Q38</f>
        <v>33.242358461538466</v>
      </c>
      <c r="AM38" s="109">
        <f t="shared" si="26"/>
        <v>885.51319230769229</v>
      </c>
      <c r="AN38" s="109">
        <f t="shared" si="27"/>
        <v>0</v>
      </c>
      <c r="AO38" s="168">
        <f t="shared" si="28"/>
        <v>33.242358461538466</v>
      </c>
      <c r="AP38" s="109">
        <f t="shared" si="29"/>
        <v>918.75555076923081</v>
      </c>
    </row>
    <row r="39" spans="1:42" s="38" customFormat="1" ht="12.75" x14ac:dyDescent="0.2">
      <c r="A39" s="97">
        <f>IF(AND($B$5=12, COUNTIF($A$14:A38, 12)&gt;1), "",IF(OR(AND($B$5=12, A38=12),AND($B$5=13, A38=13), A38 = "Periode"), 1, A38+1))</f>
        <v>12</v>
      </c>
      <c r="B39" s="98">
        <f>IF(OR(IF($B$5=13, rekenwaarden!D27, rekenwaarden!I27)&lt;$B$6,IF($B$5=13, rekenwaarden!C27, rekenwaarden!H27)&gt;$B$7),"",IF(A39="", "", IF($B$5=13, rekenwaarden!C27, rekenwaarden!H27)))</f>
        <v>47063</v>
      </c>
      <c r="C39" s="99">
        <f>IF(B39="", "", IF($B$5=13, rekenwaarden!D27, rekenwaarden!I27))</f>
        <v>47090</v>
      </c>
      <c r="D39" s="100">
        <v>85000</v>
      </c>
      <c r="E39" s="100">
        <v>0</v>
      </c>
      <c r="F39" s="66">
        <v>100</v>
      </c>
      <c r="G39" s="66">
        <v>0</v>
      </c>
      <c r="H39" s="66" t="s">
        <v>125</v>
      </c>
      <c r="I39" s="66">
        <v>0</v>
      </c>
      <c r="J39" s="66" t="s">
        <v>125</v>
      </c>
      <c r="K39" s="66">
        <v>0</v>
      </c>
      <c r="L39" s="101">
        <v>40</v>
      </c>
      <c r="M39" s="158">
        <f t="shared" si="0"/>
        <v>47063</v>
      </c>
      <c r="N39" s="158">
        <f t="shared" si="1"/>
        <v>47090</v>
      </c>
      <c r="O39" s="97">
        <f t="shared" si="15"/>
        <v>28</v>
      </c>
      <c r="P39" s="127">
        <f t="shared" si="2"/>
        <v>1</v>
      </c>
      <c r="Q39" s="103">
        <f t="shared" si="16"/>
        <v>7.6923076923076927E-2</v>
      </c>
      <c r="R39" s="143">
        <f t="shared" si="17"/>
        <v>160</v>
      </c>
      <c r="S39" s="105">
        <f t="shared" si="3"/>
        <v>100</v>
      </c>
      <c r="T39" s="106" t="b">
        <f t="shared" si="4"/>
        <v>1</v>
      </c>
      <c r="U39" s="107">
        <f t="shared" si="18"/>
        <v>0.625</v>
      </c>
      <c r="V39" s="164">
        <f t="shared" si="19"/>
        <v>0</v>
      </c>
      <c r="W39" s="184">
        <f t="shared" ref="W39:W40" si="36">(E39/U39)/Q39</f>
        <v>0</v>
      </c>
      <c r="X39" s="184">
        <f t="shared" ref="X39:X40" si="37">W39+D39</f>
        <v>85000</v>
      </c>
      <c r="Y39" s="184">
        <f t="shared" si="30"/>
        <v>19172</v>
      </c>
      <c r="Z39" s="184">
        <f t="shared" ref="Z39:Z40" si="38">MIN(maxloon2028+W39, maxloonexc2028)</f>
        <v>95000</v>
      </c>
      <c r="AA39" s="184">
        <f t="shared" si="32"/>
        <v>137800</v>
      </c>
      <c r="AB39" s="189">
        <f t="shared" si="22"/>
        <v>65828</v>
      </c>
      <c r="AC39" s="109">
        <f t="shared" si="23"/>
        <v>3164.8076923076924</v>
      </c>
      <c r="AD39" s="109">
        <f t="shared" si="24"/>
        <v>0</v>
      </c>
      <c r="AE39" s="110">
        <f t="shared" si="33"/>
        <v>885.51319230769229</v>
      </c>
      <c r="AF39" s="168">
        <f t="shared" si="34"/>
        <v>0</v>
      </c>
      <c r="AG39" s="109">
        <f t="shared" si="25"/>
        <v>885.51319230769229</v>
      </c>
      <c r="AH39" s="173">
        <f t="shared" si="10"/>
        <v>0</v>
      </c>
      <c r="AI39" s="109">
        <f t="shared" si="11"/>
        <v>0</v>
      </c>
      <c r="AJ39" s="109">
        <f t="shared" si="35"/>
        <v>0</v>
      </c>
      <c r="AK39" s="110">
        <v>18000</v>
      </c>
      <c r="AL39" s="168">
        <f>AK39/1000*VLOOKUP(leeftijd_deelnemer+1,'premie ANW-hiaat'!A$2:C$54,2,0)*VLOOKUP(leeftijd_partner+1,'premie ANW-hiaat'!A$2:C$54,3,0)*Q39</f>
        <v>33.242358461538466</v>
      </c>
      <c r="AM39" s="109">
        <f t="shared" si="26"/>
        <v>885.51319230769229</v>
      </c>
      <c r="AN39" s="109">
        <f t="shared" si="27"/>
        <v>0</v>
      </c>
      <c r="AO39" s="168">
        <f t="shared" si="28"/>
        <v>33.242358461538466</v>
      </c>
      <c r="AP39" s="109">
        <f t="shared" si="29"/>
        <v>918.75555076923081</v>
      </c>
    </row>
    <row r="40" spans="1:42" s="39" customFormat="1" ht="13.5" thickBot="1" x14ac:dyDescent="0.25">
      <c r="A40" s="159">
        <f>IF(AND($B$5=12, COUNTIF($A$14:A39, 12)&gt;1), "",IF(OR(AND($B$5=12, A39=12),AND($B$5=13, A39=13), A39 = "Periode"), 1, A39+1))</f>
        <v>13</v>
      </c>
      <c r="B40" s="129">
        <f>IF(OR(IF($B$5=13, rekenwaarden!D28, rekenwaarden!I28)&lt;$B$6,IF($B$5=13, rekenwaarden!C28, rekenwaarden!H28)&gt;$B$7),"",IF(A40="", "", IF($B$5=13, rekenwaarden!C28, rekenwaarden!H28)))</f>
        <v>47091</v>
      </c>
      <c r="C40" s="129">
        <f>IF(B40="", "", IF($B$5=13, rekenwaarden!D28, rekenwaarden!I28))</f>
        <v>47118</v>
      </c>
      <c r="D40" s="131">
        <v>85000</v>
      </c>
      <c r="E40" s="131">
        <v>0</v>
      </c>
      <c r="F40" s="132">
        <v>50</v>
      </c>
      <c r="G40" s="132">
        <v>0</v>
      </c>
      <c r="H40" s="132" t="s">
        <v>125</v>
      </c>
      <c r="I40" s="132">
        <v>0</v>
      </c>
      <c r="J40" s="132" t="s">
        <v>125</v>
      </c>
      <c r="K40" s="132">
        <v>0</v>
      </c>
      <c r="L40" s="160">
        <v>40</v>
      </c>
      <c r="M40" s="161">
        <f t="shared" si="0"/>
        <v>47091</v>
      </c>
      <c r="N40" s="129">
        <f t="shared" si="1"/>
        <v>47097</v>
      </c>
      <c r="O40" s="128">
        <f t="shared" si="15"/>
        <v>7</v>
      </c>
      <c r="P40" s="134">
        <f t="shared" si="2"/>
        <v>0.25</v>
      </c>
      <c r="Q40" s="135">
        <f t="shared" si="16"/>
        <v>1.9230769230769232E-2</v>
      </c>
      <c r="R40" s="162">
        <f t="shared" si="17"/>
        <v>40</v>
      </c>
      <c r="S40" s="137">
        <f t="shared" si="3"/>
        <v>40</v>
      </c>
      <c r="T40" s="163" t="b">
        <f t="shared" si="4"/>
        <v>1</v>
      </c>
      <c r="U40" s="139">
        <f t="shared" si="18"/>
        <v>1</v>
      </c>
      <c r="V40" s="167">
        <f t="shared" si="19"/>
        <v>0</v>
      </c>
      <c r="W40" s="172">
        <f t="shared" si="36"/>
        <v>0</v>
      </c>
      <c r="X40" s="172">
        <f t="shared" si="37"/>
        <v>85000</v>
      </c>
      <c r="Y40" s="172">
        <f t="shared" si="30"/>
        <v>19172</v>
      </c>
      <c r="Z40" s="172">
        <f t="shared" si="38"/>
        <v>95000</v>
      </c>
      <c r="AA40" s="172">
        <f t="shared" si="32"/>
        <v>137800</v>
      </c>
      <c r="AB40" s="191">
        <f t="shared" si="22"/>
        <v>65828</v>
      </c>
      <c r="AC40" s="141">
        <f t="shared" si="23"/>
        <v>1265.9230769230769</v>
      </c>
      <c r="AD40" s="141">
        <f t="shared" si="24"/>
        <v>0</v>
      </c>
      <c r="AE40" s="142">
        <f t="shared" si="33"/>
        <v>354.20527692307689</v>
      </c>
      <c r="AF40" s="169">
        <f t="shared" si="34"/>
        <v>0</v>
      </c>
      <c r="AG40" s="141">
        <f t="shared" si="25"/>
        <v>354.20527692307689</v>
      </c>
      <c r="AH40" s="175">
        <f t="shared" si="10"/>
        <v>0</v>
      </c>
      <c r="AI40" s="141">
        <f t="shared" si="11"/>
        <v>0</v>
      </c>
      <c r="AJ40" s="141">
        <f t="shared" si="35"/>
        <v>0</v>
      </c>
      <c r="AK40" s="142">
        <v>18000</v>
      </c>
      <c r="AL40" s="169">
        <f>AK40/1000*VLOOKUP(leeftijd_deelnemer+1,'premie ANW-hiaat'!A$2:C$54,2,0)*VLOOKUP(leeftijd_partner+1,'premie ANW-hiaat'!A$2:C$54,3,0)*Q40</f>
        <v>8.3105896153846164</v>
      </c>
      <c r="AM40" s="141">
        <f t="shared" si="26"/>
        <v>354.20527692307689</v>
      </c>
      <c r="AN40" s="141">
        <f t="shared" si="27"/>
        <v>0</v>
      </c>
      <c r="AO40" s="169">
        <f t="shared" si="28"/>
        <v>8.3105896153846164</v>
      </c>
      <c r="AP40" s="141">
        <f t="shared" si="29"/>
        <v>362.51586653846152</v>
      </c>
    </row>
    <row r="41" spans="1:42" ht="15.75" thickTop="1" x14ac:dyDescent="0.25"/>
    <row r="42" spans="1:42" x14ac:dyDescent="0.25">
      <c r="G42" s="83"/>
    </row>
  </sheetData>
  <sheetProtection formatCells="0"/>
  <protectedRanges>
    <protectedRange algorithmName="SHA-512" hashValue="XWqXE5y7ud9C/cNOMQiriu88QX5Yy1lrleFAN7oJKKkNVT+uzJ6h7KtAxzO/B3O0E+c9Y+GFFtGwYi0q+W0Ygg==" saltValue="JmBrNhhh+xIagHjXqjMNSQ==" spinCount="100000" sqref="B4:B10 D15:L40" name="Aantepassenvelden"/>
  </protectedRanges>
  <dataValidations disablePrompts="1" count="3">
    <dataValidation type="list" allowBlank="1" showInputMessage="1" showErrorMessage="1" sqref="B5" xr:uid="{00000000-0002-0000-0000-000000000000}">
      <formula1>"12,13"</formula1>
    </dataValidation>
    <dataValidation type="list" allowBlank="1" showInputMessage="1" showErrorMessage="1" sqref="B4" xr:uid="{00000000-0002-0000-0000-000001000000}">
      <formula1>"1,2"</formula1>
    </dataValidation>
    <dataValidation type="list" allowBlank="1" showInputMessage="1" showErrorMessage="1" sqref="B8" xr:uid="{00000000-0002-0000-0000-000002000000}">
      <formula1>"WAAR, ONWAAR"</formula1>
    </dataValidation>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7">
    <tabColor theme="2" tint="-9.9978637043366805E-2"/>
  </sheetPr>
  <dimension ref="A1:S94"/>
  <sheetViews>
    <sheetView workbookViewId="0">
      <selection activeCell="S5" sqref="S5"/>
    </sheetView>
  </sheetViews>
  <sheetFormatPr defaultColWidth="8.7109375" defaultRowHeight="15" x14ac:dyDescent="0.25"/>
  <cols>
    <col min="1" max="2" width="8.7109375" style="17" customWidth="1"/>
    <col min="3" max="3" width="13.5703125" style="17" customWidth="1"/>
    <col min="4" max="4" width="15.28515625" style="17" customWidth="1"/>
    <col min="5" max="7" width="8.7109375" style="17" customWidth="1"/>
    <col min="8" max="9" width="10.42578125" style="17" customWidth="1"/>
    <col min="10" max="10" width="8.7109375" style="17"/>
    <col min="11" max="11" width="10.42578125" style="17" bestFit="1" customWidth="1"/>
    <col min="12" max="12" width="11.7109375" style="17" bestFit="1" customWidth="1"/>
    <col min="13" max="14" width="12.7109375" style="17" bestFit="1" customWidth="1"/>
    <col min="15" max="15" width="16.5703125" style="17" bestFit="1" customWidth="1"/>
    <col min="16" max="16" width="16.5703125" style="17" customWidth="1"/>
    <col min="17" max="18" width="11.7109375" style="17" customWidth="1"/>
    <col min="19" max="16384" width="8.7109375" style="17"/>
  </cols>
  <sheetData>
    <row r="1" spans="1:19" x14ac:dyDescent="0.25">
      <c r="A1" s="30" t="s">
        <v>127</v>
      </c>
      <c r="F1" s="30" t="s">
        <v>128</v>
      </c>
    </row>
    <row r="2" spans="1:19" s="68" customFormat="1" ht="51.75" x14ac:dyDescent="0.25">
      <c r="C2" s="69" t="s">
        <v>129</v>
      </c>
      <c r="D2" s="70" t="s">
        <v>130</v>
      </c>
      <c r="H2" s="69" t="s">
        <v>129</v>
      </c>
      <c r="I2" s="70" t="s">
        <v>130</v>
      </c>
      <c r="J2" s="71"/>
      <c r="K2" s="71"/>
      <c r="L2" s="72" t="s">
        <v>131</v>
      </c>
      <c r="M2" s="73" t="s">
        <v>132</v>
      </c>
      <c r="N2" s="73" t="s">
        <v>133</v>
      </c>
      <c r="O2" s="73" t="s">
        <v>134</v>
      </c>
      <c r="P2" s="73" t="s">
        <v>193</v>
      </c>
      <c r="Q2" s="73" t="s">
        <v>135</v>
      </c>
      <c r="R2" s="73" t="s">
        <v>136</v>
      </c>
      <c r="S2" s="74" t="s">
        <v>137</v>
      </c>
    </row>
    <row r="3" spans="1:19" x14ac:dyDescent="0.25">
      <c r="A3" s="19">
        <v>2027</v>
      </c>
      <c r="B3" s="20">
        <v>1</v>
      </c>
      <c r="C3" s="21">
        <f>DATE(A3, 1,1)</f>
        <v>46388</v>
      </c>
      <c r="D3" s="22">
        <f t="shared" ref="D3:D29" si="0">C4-1</f>
        <v>46418</v>
      </c>
      <c r="F3" s="19">
        <f>A3</f>
        <v>2027</v>
      </c>
      <c r="G3" s="20">
        <v>1</v>
      </c>
      <c r="H3" s="21">
        <f>DATE(F3, 1, 1)</f>
        <v>46388</v>
      </c>
      <c r="I3" s="22">
        <f>DATE(YEAR(H3), MONTH(H3)+1, 1-1)</f>
        <v>46418</v>
      </c>
      <c r="K3" s="46">
        <f>F3</f>
        <v>2027</v>
      </c>
      <c r="L3" s="58">
        <v>19172</v>
      </c>
      <c r="M3" s="59">
        <v>75000</v>
      </c>
      <c r="N3" s="59">
        <v>137800</v>
      </c>
      <c r="O3" s="53">
        <v>0.27979999999999999</v>
      </c>
      <c r="P3" s="53">
        <v>0.5</v>
      </c>
      <c r="Q3" s="53">
        <v>0.1089</v>
      </c>
      <c r="R3" s="53">
        <v>9.9000000000000005E-2</v>
      </c>
      <c r="S3" s="75">
        <v>0.27979999999999999</v>
      </c>
    </row>
    <row r="4" spans="1:19" x14ac:dyDescent="0.25">
      <c r="A4" s="18"/>
      <c r="B4" s="17">
        <v>2</v>
      </c>
      <c r="C4" s="23">
        <f t="shared" ref="C4:C30" si="1">IF(B4=1,DATE(A4,B4,1),C3 + 28 + IF(B4=2, 4 - WEEKDAY(C3,15), 0))</f>
        <v>46419</v>
      </c>
      <c r="D4" s="24">
        <f t="shared" si="0"/>
        <v>46446</v>
      </c>
      <c r="E4" s="25"/>
      <c r="F4" s="18"/>
      <c r="G4" s="17">
        <v>2</v>
      </c>
      <c r="H4" s="23">
        <f>I3+1</f>
        <v>46419</v>
      </c>
      <c r="I4" s="24">
        <f t="shared" ref="I4:I14" si="2">DATE(YEAR(H4), MONTH(H4)+1, 1-1)</f>
        <v>46446</v>
      </c>
      <c r="K4" s="47">
        <f>F15</f>
        <v>2028</v>
      </c>
      <c r="L4" s="60">
        <v>19172</v>
      </c>
      <c r="M4" s="61">
        <v>95000</v>
      </c>
      <c r="N4" s="61">
        <v>137800</v>
      </c>
      <c r="O4" s="54">
        <v>0.27979999999999999</v>
      </c>
      <c r="P4" s="54">
        <v>0.5</v>
      </c>
      <c r="Q4" s="54">
        <v>0.1089</v>
      </c>
      <c r="R4" s="54">
        <v>9.9000000000000005E-2</v>
      </c>
      <c r="S4" s="76">
        <v>0.27979999999999999</v>
      </c>
    </row>
    <row r="5" spans="1:19" x14ac:dyDescent="0.25">
      <c r="A5" s="18"/>
      <c r="B5" s="17">
        <v>3</v>
      </c>
      <c r="C5" s="23">
        <f t="shared" si="1"/>
        <v>46447</v>
      </c>
      <c r="D5" s="24">
        <f t="shared" si="0"/>
        <v>46474</v>
      </c>
      <c r="E5" s="25"/>
      <c r="F5" s="18"/>
      <c r="G5" s="17">
        <v>3</v>
      </c>
      <c r="H5" s="23">
        <f t="shared" ref="H5:H14" si="3">I4+1</f>
        <v>46447</v>
      </c>
      <c r="I5" s="24">
        <f t="shared" si="2"/>
        <v>46477</v>
      </c>
    </row>
    <row r="6" spans="1:19" x14ac:dyDescent="0.25">
      <c r="A6" s="18"/>
      <c r="B6" s="17">
        <v>4</v>
      </c>
      <c r="C6" s="23">
        <f t="shared" si="1"/>
        <v>46475</v>
      </c>
      <c r="D6" s="24">
        <f t="shared" si="0"/>
        <v>46502</v>
      </c>
      <c r="E6" s="25"/>
      <c r="F6" s="18"/>
      <c r="G6" s="17">
        <v>4</v>
      </c>
      <c r="H6" s="23">
        <f t="shared" si="3"/>
        <v>46478</v>
      </c>
      <c r="I6" s="24">
        <f t="shared" si="2"/>
        <v>46507</v>
      </c>
    </row>
    <row r="7" spans="1:19" x14ac:dyDescent="0.25">
      <c r="A7" s="18"/>
      <c r="B7" s="17">
        <v>5</v>
      </c>
      <c r="C7" s="23">
        <f t="shared" si="1"/>
        <v>46503</v>
      </c>
      <c r="D7" s="24">
        <f t="shared" si="0"/>
        <v>46530</v>
      </c>
      <c r="E7" s="25"/>
      <c r="F7" s="18"/>
      <c r="G7" s="17">
        <v>5</v>
      </c>
      <c r="H7" s="23">
        <f t="shared" si="3"/>
        <v>46508</v>
      </c>
      <c r="I7" s="24">
        <f t="shared" si="2"/>
        <v>46538</v>
      </c>
    </row>
    <row r="8" spans="1:19" x14ac:dyDescent="0.25">
      <c r="A8" s="18"/>
      <c r="B8" s="17">
        <v>6</v>
      </c>
      <c r="C8" s="23">
        <f t="shared" si="1"/>
        <v>46531</v>
      </c>
      <c r="D8" s="24">
        <f t="shared" si="0"/>
        <v>46558</v>
      </c>
      <c r="E8" s="25"/>
      <c r="F8" s="18"/>
      <c r="G8" s="17">
        <v>6</v>
      </c>
      <c r="H8" s="23">
        <f t="shared" si="3"/>
        <v>46539</v>
      </c>
      <c r="I8" s="24">
        <f t="shared" si="2"/>
        <v>46568</v>
      </c>
    </row>
    <row r="9" spans="1:19" x14ac:dyDescent="0.25">
      <c r="A9" s="18"/>
      <c r="B9" s="17">
        <v>7</v>
      </c>
      <c r="C9" s="23">
        <f t="shared" si="1"/>
        <v>46559</v>
      </c>
      <c r="D9" s="24">
        <f t="shared" si="0"/>
        <v>46586</v>
      </c>
      <c r="E9" s="25"/>
      <c r="F9" s="18"/>
      <c r="G9" s="17">
        <v>7</v>
      </c>
      <c r="H9" s="23">
        <f t="shared" si="3"/>
        <v>46569</v>
      </c>
      <c r="I9" s="24">
        <f t="shared" si="2"/>
        <v>46599</v>
      </c>
    </row>
    <row r="10" spans="1:19" x14ac:dyDescent="0.25">
      <c r="A10" s="18"/>
      <c r="B10" s="17">
        <v>8</v>
      </c>
      <c r="C10" s="23">
        <f t="shared" si="1"/>
        <v>46587</v>
      </c>
      <c r="D10" s="24">
        <f t="shared" si="0"/>
        <v>46614</v>
      </c>
      <c r="E10" s="25"/>
      <c r="F10" s="18"/>
      <c r="G10" s="17">
        <v>8</v>
      </c>
      <c r="H10" s="23">
        <f t="shared" si="3"/>
        <v>46600</v>
      </c>
      <c r="I10" s="24">
        <f t="shared" si="2"/>
        <v>46630</v>
      </c>
    </row>
    <row r="11" spans="1:19" x14ac:dyDescent="0.25">
      <c r="A11" s="18"/>
      <c r="B11" s="17">
        <v>9</v>
      </c>
      <c r="C11" s="23">
        <f t="shared" si="1"/>
        <v>46615</v>
      </c>
      <c r="D11" s="24">
        <f t="shared" si="0"/>
        <v>46642</v>
      </c>
      <c r="E11" s="25"/>
      <c r="F11" s="18"/>
      <c r="G11" s="17">
        <v>9</v>
      </c>
      <c r="H11" s="23">
        <f t="shared" si="3"/>
        <v>46631</v>
      </c>
      <c r="I11" s="24">
        <f t="shared" si="2"/>
        <v>46660</v>
      </c>
    </row>
    <row r="12" spans="1:19" x14ac:dyDescent="0.25">
      <c r="A12" s="18"/>
      <c r="B12" s="17">
        <v>10</v>
      </c>
      <c r="C12" s="23">
        <f t="shared" si="1"/>
        <v>46643</v>
      </c>
      <c r="D12" s="24">
        <f t="shared" si="0"/>
        <v>46670</v>
      </c>
      <c r="E12" s="25"/>
      <c r="F12" s="18"/>
      <c r="G12" s="17">
        <v>10</v>
      </c>
      <c r="H12" s="23">
        <f t="shared" si="3"/>
        <v>46661</v>
      </c>
      <c r="I12" s="24">
        <f t="shared" si="2"/>
        <v>46691</v>
      </c>
    </row>
    <row r="13" spans="1:19" x14ac:dyDescent="0.25">
      <c r="A13" s="18"/>
      <c r="B13" s="17">
        <v>11</v>
      </c>
      <c r="C13" s="23">
        <f t="shared" si="1"/>
        <v>46671</v>
      </c>
      <c r="D13" s="24">
        <f t="shared" si="0"/>
        <v>46698</v>
      </c>
      <c r="E13" s="25"/>
      <c r="F13" s="18"/>
      <c r="G13" s="17">
        <v>11</v>
      </c>
      <c r="H13" s="23">
        <f t="shared" si="3"/>
        <v>46692</v>
      </c>
      <c r="I13" s="24">
        <f t="shared" si="2"/>
        <v>46721</v>
      </c>
    </row>
    <row r="14" spans="1:19" x14ac:dyDescent="0.25">
      <c r="A14" s="18"/>
      <c r="B14" s="17">
        <v>12</v>
      </c>
      <c r="C14" s="23">
        <f t="shared" si="1"/>
        <v>46699</v>
      </c>
      <c r="D14" s="24">
        <f t="shared" si="0"/>
        <v>46726</v>
      </c>
      <c r="E14" s="25"/>
      <c r="F14" s="18"/>
      <c r="G14" s="17">
        <v>12</v>
      </c>
      <c r="H14" s="23">
        <f t="shared" si="3"/>
        <v>46722</v>
      </c>
      <c r="I14" s="24">
        <f t="shared" si="2"/>
        <v>46752</v>
      </c>
    </row>
    <row r="15" spans="1:19" x14ac:dyDescent="0.25">
      <c r="A15" s="26"/>
      <c r="B15" s="27">
        <v>13</v>
      </c>
      <c r="C15" s="28">
        <f t="shared" si="1"/>
        <v>46727</v>
      </c>
      <c r="D15" s="29">
        <f t="shared" si="0"/>
        <v>46752</v>
      </c>
      <c r="E15" s="25"/>
      <c r="F15" s="19">
        <f>A16</f>
        <v>2028</v>
      </c>
      <c r="G15" s="20">
        <v>1</v>
      </c>
      <c r="H15" s="21">
        <f>DATE(F15, 1, 1)</f>
        <v>46753</v>
      </c>
      <c r="I15" s="22">
        <f>DATE(YEAR(H15), MONTH(H15)+1, 1-1)</f>
        <v>46783</v>
      </c>
    </row>
    <row r="16" spans="1:19" x14ac:dyDescent="0.25">
      <c r="A16" s="19">
        <f>A3+1</f>
        <v>2028</v>
      </c>
      <c r="B16" s="20">
        <v>1</v>
      </c>
      <c r="C16" s="21">
        <f t="shared" si="1"/>
        <v>46753</v>
      </c>
      <c r="D16" s="22">
        <f t="shared" si="0"/>
        <v>46782</v>
      </c>
      <c r="E16" s="25"/>
      <c r="F16" s="18"/>
      <c r="G16" s="17">
        <v>2</v>
      </c>
      <c r="H16" s="23">
        <f>I15+1</f>
        <v>46784</v>
      </c>
      <c r="I16" s="24">
        <f t="shared" ref="I16:I26" si="4">DATE(YEAR(H16), MONTH(H16)+1, 1-1)</f>
        <v>46812</v>
      </c>
    </row>
    <row r="17" spans="1:9" x14ac:dyDescent="0.25">
      <c r="A17" s="18"/>
      <c r="B17" s="17">
        <v>2</v>
      </c>
      <c r="C17" s="23">
        <f t="shared" si="1"/>
        <v>46783</v>
      </c>
      <c r="D17" s="24">
        <f t="shared" si="0"/>
        <v>46810</v>
      </c>
      <c r="E17" s="25"/>
      <c r="F17" s="18"/>
      <c r="G17" s="17">
        <v>3</v>
      </c>
      <c r="H17" s="23">
        <f t="shared" ref="H17:H26" si="5">I16+1</f>
        <v>46813</v>
      </c>
      <c r="I17" s="24">
        <f t="shared" si="4"/>
        <v>46843</v>
      </c>
    </row>
    <row r="18" spans="1:9" x14ac:dyDescent="0.25">
      <c r="A18" s="18"/>
      <c r="B18" s="17">
        <v>3</v>
      </c>
      <c r="C18" s="23">
        <f t="shared" si="1"/>
        <v>46811</v>
      </c>
      <c r="D18" s="24">
        <f t="shared" si="0"/>
        <v>46838</v>
      </c>
      <c r="E18" s="25"/>
      <c r="F18" s="18"/>
      <c r="G18" s="17">
        <v>4</v>
      </c>
      <c r="H18" s="23">
        <f t="shared" si="5"/>
        <v>46844</v>
      </c>
      <c r="I18" s="24">
        <f t="shared" si="4"/>
        <v>46873</v>
      </c>
    </row>
    <row r="19" spans="1:9" x14ac:dyDescent="0.25">
      <c r="A19" s="18"/>
      <c r="B19" s="17">
        <v>4</v>
      </c>
      <c r="C19" s="23">
        <f t="shared" si="1"/>
        <v>46839</v>
      </c>
      <c r="D19" s="24">
        <f t="shared" si="0"/>
        <v>46866</v>
      </c>
      <c r="E19" s="25"/>
      <c r="F19" s="18"/>
      <c r="G19" s="17">
        <v>5</v>
      </c>
      <c r="H19" s="23">
        <f t="shared" si="5"/>
        <v>46874</v>
      </c>
      <c r="I19" s="24">
        <f t="shared" si="4"/>
        <v>46904</v>
      </c>
    </row>
    <row r="20" spans="1:9" x14ac:dyDescent="0.25">
      <c r="A20" s="18"/>
      <c r="B20" s="17">
        <v>5</v>
      </c>
      <c r="C20" s="23">
        <f t="shared" si="1"/>
        <v>46867</v>
      </c>
      <c r="D20" s="24">
        <f t="shared" si="0"/>
        <v>46894</v>
      </c>
      <c r="E20" s="25"/>
      <c r="F20" s="18"/>
      <c r="G20" s="17">
        <v>6</v>
      </c>
      <c r="H20" s="23">
        <f t="shared" si="5"/>
        <v>46905</v>
      </c>
      <c r="I20" s="24">
        <f t="shared" si="4"/>
        <v>46934</v>
      </c>
    </row>
    <row r="21" spans="1:9" x14ac:dyDescent="0.25">
      <c r="A21" s="18"/>
      <c r="B21" s="17">
        <v>6</v>
      </c>
      <c r="C21" s="23">
        <f t="shared" si="1"/>
        <v>46895</v>
      </c>
      <c r="D21" s="24">
        <f t="shared" si="0"/>
        <v>46922</v>
      </c>
      <c r="E21" s="25"/>
      <c r="F21" s="18"/>
      <c r="G21" s="17">
        <v>7</v>
      </c>
      <c r="H21" s="23">
        <f t="shared" si="5"/>
        <v>46935</v>
      </c>
      <c r="I21" s="24">
        <f t="shared" si="4"/>
        <v>46965</v>
      </c>
    </row>
    <row r="22" spans="1:9" x14ac:dyDescent="0.25">
      <c r="A22" s="18"/>
      <c r="B22" s="17">
        <v>7</v>
      </c>
      <c r="C22" s="23">
        <f t="shared" si="1"/>
        <v>46923</v>
      </c>
      <c r="D22" s="24">
        <f t="shared" si="0"/>
        <v>46950</v>
      </c>
      <c r="E22" s="25"/>
      <c r="F22" s="18"/>
      <c r="G22" s="17">
        <v>8</v>
      </c>
      <c r="H22" s="23">
        <f t="shared" si="5"/>
        <v>46966</v>
      </c>
      <c r="I22" s="24">
        <f t="shared" si="4"/>
        <v>46996</v>
      </c>
    </row>
    <row r="23" spans="1:9" x14ac:dyDescent="0.25">
      <c r="A23" s="18"/>
      <c r="B23" s="17">
        <v>8</v>
      </c>
      <c r="C23" s="23">
        <f t="shared" si="1"/>
        <v>46951</v>
      </c>
      <c r="D23" s="24">
        <f t="shared" si="0"/>
        <v>46978</v>
      </c>
      <c r="E23" s="25"/>
      <c r="F23" s="18"/>
      <c r="G23" s="17">
        <v>9</v>
      </c>
      <c r="H23" s="23">
        <f t="shared" si="5"/>
        <v>46997</v>
      </c>
      <c r="I23" s="24">
        <f t="shared" si="4"/>
        <v>47026</v>
      </c>
    </row>
    <row r="24" spans="1:9" x14ac:dyDescent="0.25">
      <c r="A24" s="18"/>
      <c r="B24" s="17">
        <v>9</v>
      </c>
      <c r="C24" s="23">
        <f t="shared" si="1"/>
        <v>46979</v>
      </c>
      <c r="D24" s="24">
        <f t="shared" si="0"/>
        <v>47006</v>
      </c>
      <c r="E24" s="25"/>
      <c r="F24" s="18"/>
      <c r="G24" s="17">
        <v>10</v>
      </c>
      <c r="H24" s="23">
        <f t="shared" si="5"/>
        <v>47027</v>
      </c>
      <c r="I24" s="24">
        <f t="shared" si="4"/>
        <v>47057</v>
      </c>
    </row>
    <row r="25" spans="1:9" x14ac:dyDescent="0.25">
      <c r="A25" s="18"/>
      <c r="B25" s="17">
        <v>10</v>
      </c>
      <c r="C25" s="23">
        <f t="shared" si="1"/>
        <v>47007</v>
      </c>
      <c r="D25" s="24">
        <f t="shared" si="0"/>
        <v>47034</v>
      </c>
      <c r="E25" s="25"/>
      <c r="F25" s="18"/>
      <c r="G25" s="17">
        <v>11</v>
      </c>
      <c r="H25" s="23">
        <f t="shared" si="5"/>
        <v>47058</v>
      </c>
      <c r="I25" s="24">
        <f t="shared" si="4"/>
        <v>47087</v>
      </c>
    </row>
    <row r="26" spans="1:9" x14ac:dyDescent="0.25">
      <c r="A26" s="18"/>
      <c r="B26" s="17">
        <v>11</v>
      </c>
      <c r="C26" s="23">
        <f t="shared" si="1"/>
        <v>47035</v>
      </c>
      <c r="D26" s="24">
        <f t="shared" si="0"/>
        <v>47062</v>
      </c>
      <c r="E26" s="25"/>
      <c r="F26" s="26"/>
      <c r="G26" s="27">
        <v>12</v>
      </c>
      <c r="H26" s="28">
        <f t="shared" si="5"/>
        <v>47088</v>
      </c>
      <c r="I26" s="29">
        <f t="shared" si="4"/>
        <v>47118</v>
      </c>
    </row>
    <row r="27" spans="1:9" x14ac:dyDescent="0.25">
      <c r="A27" s="18"/>
      <c r="B27" s="17">
        <v>12</v>
      </c>
      <c r="C27" s="23">
        <f t="shared" si="1"/>
        <v>47063</v>
      </c>
      <c r="D27" s="24">
        <f t="shared" si="0"/>
        <v>47090</v>
      </c>
      <c r="E27" s="25"/>
    </row>
    <row r="28" spans="1:9" x14ac:dyDescent="0.25">
      <c r="A28" s="26"/>
      <c r="B28" s="27">
        <v>13</v>
      </c>
      <c r="C28" s="28">
        <f t="shared" si="1"/>
        <v>47091</v>
      </c>
      <c r="D28" s="24">
        <f t="shared" si="0"/>
        <v>47118</v>
      </c>
      <c r="E28" s="25"/>
    </row>
    <row r="29" spans="1:9" x14ac:dyDescent="0.25">
      <c r="A29" s="19">
        <f>A16+1</f>
        <v>2029</v>
      </c>
      <c r="B29" s="20">
        <v>1</v>
      </c>
      <c r="C29" s="21">
        <f t="shared" ref="C29" si="6">IF(B29=1,DATE(A29,B29,1),C28 + 28 + IF(B29=2, 4 - WEEKDAY(C28,15), 0))</f>
        <v>47119</v>
      </c>
      <c r="D29" s="22">
        <f t="shared" si="0"/>
        <v>47146</v>
      </c>
      <c r="E29" s="25"/>
    </row>
    <row r="30" spans="1:9" x14ac:dyDescent="0.25">
      <c r="A30" s="18"/>
      <c r="B30" s="17">
        <v>2</v>
      </c>
      <c r="C30" s="23">
        <f t="shared" si="1"/>
        <v>47147</v>
      </c>
      <c r="D30" s="24"/>
      <c r="E30" s="25"/>
    </row>
    <row r="31" spans="1:9" x14ac:dyDescent="0.25">
      <c r="A31" s="18"/>
      <c r="C31" s="23"/>
      <c r="D31" s="24"/>
      <c r="E31" s="25"/>
    </row>
    <row r="32" spans="1:9" x14ac:dyDescent="0.25">
      <c r="A32" s="18"/>
      <c r="C32" s="23"/>
      <c r="D32" s="24"/>
      <c r="E32" s="25"/>
    </row>
    <row r="33" spans="1:5" x14ac:dyDescent="0.25">
      <c r="A33" s="18"/>
      <c r="C33" s="23"/>
      <c r="D33" s="24"/>
      <c r="E33" s="25"/>
    </row>
    <row r="34" spans="1:5" x14ac:dyDescent="0.25">
      <c r="A34" s="18"/>
      <c r="C34" s="23"/>
      <c r="D34" s="24"/>
      <c r="E34" s="25"/>
    </row>
    <row r="35" spans="1:5" x14ac:dyDescent="0.25">
      <c r="A35" s="18"/>
      <c r="C35" s="23"/>
      <c r="D35" s="24"/>
      <c r="E35" s="25"/>
    </row>
    <row r="36" spans="1:5" x14ac:dyDescent="0.25">
      <c r="A36" s="18"/>
      <c r="C36" s="23"/>
      <c r="D36" s="24"/>
      <c r="E36" s="25"/>
    </row>
    <row r="37" spans="1:5" x14ac:dyDescent="0.25">
      <c r="A37" s="18"/>
      <c r="C37" s="23"/>
      <c r="D37" s="24"/>
      <c r="E37" s="25"/>
    </row>
    <row r="38" spans="1:5" x14ac:dyDescent="0.25">
      <c r="A38" s="18"/>
      <c r="C38" s="23"/>
      <c r="D38" s="24"/>
      <c r="E38" s="25"/>
    </row>
    <row r="39" spans="1:5" x14ac:dyDescent="0.25">
      <c r="A39" s="18"/>
      <c r="C39" s="23"/>
      <c r="D39" s="24"/>
      <c r="E39" s="25"/>
    </row>
    <row r="40" spans="1:5" x14ac:dyDescent="0.25">
      <c r="A40" s="18"/>
      <c r="C40" s="23"/>
      <c r="D40" s="24"/>
      <c r="E40" s="25"/>
    </row>
    <row r="41" spans="1:5" x14ac:dyDescent="0.25">
      <c r="A41" s="26"/>
      <c r="B41" s="27"/>
      <c r="C41" s="28"/>
      <c r="D41" s="29"/>
      <c r="E41" s="25"/>
    </row>
    <row r="42" spans="1:5" x14ac:dyDescent="0.25">
      <c r="E42" s="25"/>
    </row>
    <row r="43" spans="1:5" x14ac:dyDescent="0.25">
      <c r="E43" s="25"/>
    </row>
    <row r="44" spans="1:5" x14ac:dyDescent="0.25">
      <c r="E44" s="25"/>
    </row>
    <row r="45" spans="1:5" x14ac:dyDescent="0.25">
      <c r="E45" s="25"/>
    </row>
    <row r="46" spans="1:5" x14ac:dyDescent="0.25">
      <c r="E46" s="25"/>
    </row>
    <row r="47" spans="1:5" x14ac:dyDescent="0.25">
      <c r="E47" s="25"/>
    </row>
    <row r="48" spans="1:5" x14ac:dyDescent="0.25">
      <c r="E48" s="25"/>
    </row>
    <row r="49" spans="5:5" x14ac:dyDescent="0.25">
      <c r="E49" s="25"/>
    </row>
    <row r="50" spans="5:5" x14ac:dyDescent="0.25">
      <c r="E50" s="25"/>
    </row>
    <row r="51" spans="5:5" x14ac:dyDescent="0.25">
      <c r="E51" s="25"/>
    </row>
    <row r="52" spans="5:5" x14ac:dyDescent="0.25">
      <c r="E52" s="25"/>
    </row>
    <row r="53" spans="5:5" x14ac:dyDescent="0.25">
      <c r="E53" s="25"/>
    </row>
    <row r="54" spans="5:5" x14ac:dyDescent="0.25">
      <c r="E54" s="25"/>
    </row>
    <row r="55" spans="5:5" x14ac:dyDescent="0.25">
      <c r="E55" s="25"/>
    </row>
    <row r="56" spans="5:5" x14ac:dyDescent="0.25">
      <c r="E56" s="25"/>
    </row>
    <row r="57" spans="5:5" x14ac:dyDescent="0.25">
      <c r="E57" s="25"/>
    </row>
    <row r="58" spans="5:5" x14ac:dyDescent="0.25">
      <c r="E58" s="25"/>
    </row>
    <row r="59" spans="5:5" x14ac:dyDescent="0.25">
      <c r="E59" s="25"/>
    </row>
    <row r="60" spans="5:5" x14ac:dyDescent="0.25">
      <c r="E60" s="25"/>
    </row>
    <row r="61" spans="5:5" x14ac:dyDescent="0.25">
      <c r="E61" s="25"/>
    </row>
    <row r="62" spans="5:5" x14ac:dyDescent="0.25">
      <c r="E62" s="25"/>
    </row>
    <row r="63" spans="5:5" x14ac:dyDescent="0.25">
      <c r="E63" s="25"/>
    </row>
    <row r="64" spans="5:5" x14ac:dyDescent="0.25">
      <c r="E64" s="25"/>
    </row>
    <row r="65" spans="5:5" x14ac:dyDescent="0.25">
      <c r="E65" s="25"/>
    </row>
    <row r="66" spans="5:5" x14ac:dyDescent="0.25">
      <c r="E66" s="25"/>
    </row>
    <row r="67" spans="5:5" x14ac:dyDescent="0.25">
      <c r="E67" s="25"/>
    </row>
    <row r="68" spans="5:5" x14ac:dyDescent="0.25">
      <c r="E68" s="25"/>
    </row>
    <row r="69" spans="5:5" x14ac:dyDescent="0.25">
      <c r="E69" s="25"/>
    </row>
    <row r="70" spans="5:5" x14ac:dyDescent="0.25">
      <c r="E70" s="25"/>
    </row>
    <row r="71" spans="5:5" x14ac:dyDescent="0.25">
      <c r="E71" s="25"/>
    </row>
    <row r="72" spans="5:5" x14ac:dyDescent="0.25">
      <c r="E72" s="25"/>
    </row>
    <row r="73" spans="5:5" x14ac:dyDescent="0.25">
      <c r="E73" s="25"/>
    </row>
    <row r="74" spans="5:5" x14ac:dyDescent="0.25">
      <c r="E74" s="25"/>
    </row>
    <row r="75" spans="5:5" x14ac:dyDescent="0.25">
      <c r="E75" s="25"/>
    </row>
    <row r="76" spans="5:5" x14ac:dyDescent="0.25">
      <c r="E76" s="25"/>
    </row>
    <row r="77" spans="5:5" x14ac:dyDescent="0.25">
      <c r="E77" s="25"/>
    </row>
    <row r="78" spans="5:5" x14ac:dyDescent="0.25">
      <c r="E78" s="25"/>
    </row>
    <row r="79" spans="5:5" x14ac:dyDescent="0.25">
      <c r="E79" s="25"/>
    </row>
    <row r="80" spans="5:5" x14ac:dyDescent="0.25">
      <c r="E80" s="25"/>
    </row>
    <row r="81" spans="5:6" x14ac:dyDescent="0.25">
      <c r="E81" s="25"/>
    </row>
    <row r="82" spans="5:6" x14ac:dyDescent="0.25">
      <c r="E82" s="25"/>
    </row>
    <row r="83" spans="5:6" x14ac:dyDescent="0.25">
      <c r="E83" s="25"/>
    </row>
    <row r="84" spans="5:6" x14ac:dyDescent="0.25">
      <c r="E84" s="25"/>
    </row>
    <row r="85" spans="5:6" x14ac:dyDescent="0.25">
      <c r="E85" s="25"/>
    </row>
    <row r="86" spans="5:6" x14ac:dyDescent="0.25">
      <c r="E86" s="25"/>
    </row>
    <row r="87" spans="5:6" x14ac:dyDescent="0.25">
      <c r="E87" s="25"/>
    </row>
    <row r="88" spans="5:6" x14ac:dyDescent="0.25">
      <c r="E88" s="25"/>
    </row>
    <row r="89" spans="5:6" x14ac:dyDescent="0.25">
      <c r="E89" s="25"/>
    </row>
    <row r="90" spans="5:6" x14ac:dyDescent="0.25">
      <c r="E90" s="25"/>
    </row>
    <row r="91" spans="5:6" x14ac:dyDescent="0.25">
      <c r="E91" s="25"/>
      <c r="F91" s="17" t="e">
        <f>WEEKDAY(#REF!,2)</f>
        <v>#REF!</v>
      </c>
    </row>
    <row r="92" spans="5:6" x14ac:dyDescent="0.25">
      <c r="E92" s="25"/>
    </row>
    <row r="93" spans="5:6" x14ac:dyDescent="0.25">
      <c r="E93" s="25"/>
    </row>
    <row r="94" spans="5:6" x14ac:dyDescent="0.25">
      <c r="E94" s="25"/>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2582B-7487-4ACE-887C-815249A1BF15}">
  <sheetPr>
    <tabColor theme="2" tint="-9.9978637043366805E-2"/>
  </sheetPr>
  <dimension ref="A1:C54"/>
  <sheetViews>
    <sheetView workbookViewId="0">
      <selection activeCell="A10" sqref="A10"/>
    </sheetView>
  </sheetViews>
  <sheetFormatPr defaultRowHeight="15" x14ac:dyDescent="0.25"/>
  <cols>
    <col min="1" max="3" width="13.42578125" customWidth="1"/>
  </cols>
  <sheetData>
    <row r="1" spans="1:3" x14ac:dyDescent="0.25">
      <c r="A1" s="71" t="s">
        <v>138</v>
      </c>
      <c r="B1" s="72" t="s">
        <v>139</v>
      </c>
      <c r="C1" s="73" t="s">
        <v>140</v>
      </c>
    </row>
    <row r="2" spans="1:3" x14ac:dyDescent="0.25">
      <c r="A2" s="79">
        <v>18</v>
      </c>
      <c r="B2" s="77">
        <v>0</v>
      </c>
      <c r="C2" s="78">
        <v>0</v>
      </c>
    </row>
    <row r="3" spans="1:3" x14ac:dyDescent="0.25">
      <c r="A3" s="80">
        <v>19</v>
      </c>
      <c r="B3" s="77">
        <v>0.09</v>
      </c>
      <c r="C3" s="78">
        <v>31.190999999999999</v>
      </c>
    </row>
    <row r="4" spans="1:3" x14ac:dyDescent="0.25">
      <c r="A4" s="80">
        <v>20</v>
      </c>
      <c r="B4" s="77">
        <v>0.1</v>
      </c>
      <c r="C4" s="78">
        <v>30.832000000000001</v>
      </c>
    </row>
    <row r="5" spans="1:3" x14ac:dyDescent="0.25">
      <c r="A5" s="80">
        <v>21</v>
      </c>
      <c r="B5" s="77">
        <v>0.11</v>
      </c>
      <c r="C5" s="78">
        <v>30.465</v>
      </c>
    </row>
    <row r="6" spans="1:3" x14ac:dyDescent="0.25">
      <c r="A6" s="80">
        <v>22</v>
      </c>
      <c r="B6" s="77">
        <v>0.11</v>
      </c>
      <c r="C6" s="78">
        <v>30.09</v>
      </c>
    </row>
    <row r="7" spans="1:3" x14ac:dyDescent="0.25">
      <c r="A7" s="80">
        <v>23</v>
      </c>
      <c r="B7" s="77">
        <v>0.12</v>
      </c>
      <c r="C7" s="78">
        <v>29.707000000000001</v>
      </c>
    </row>
    <row r="8" spans="1:3" x14ac:dyDescent="0.25">
      <c r="A8" s="80">
        <v>24</v>
      </c>
      <c r="B8" s="77">
        <v>0.12</v>
      </c>
      <c r="C8" s="78">
        <v>29.317</v>
      </c>
    </row>
    <row r="9" spans="1:3" x14ac:dyDescent="0.25">
      <c r="A9" s="80">
        <v>25</v>
      </c>
      <c r="B9" s="77">
        <v>0.13</v>
      </c>
      <c r="C9" s="78">
        <v>28.917999999999999</v>
      </c>
    </row>
    <row r="10" spans="1:3" x14ac:dyDescent="0.25">
      <c r="A10" s="80">
        <v>26</v>
      </c>
      <c r="B10" s="77">
        <v>0.13</v>
      </c>
      <c r="C10" s="78">
        <v>28.510999999999999</v>
      </c>
    </row>
    <row r="11" spans="1:3" x14ac:dyDescent="0.25">
      <c r="A11" s="80">
        <v>27</v>
      </c>
      <c r="B11" s="77">
        <v>0.13</v>
      </c>
      <c r="C11" s="78">
        <v>28.094999999999999</v>
      </c>
    </row>
    <row r="12" spans="1:3" x14ac:dyDescent="0.25">
      <c r="A12" s="80">
        <v>28</v>
      </c>
      <c r="B12" s="77">
        <v>0.14000000000000001</v>
      </c>
      <c r="C12" s="78">
        <v>27.638000000000002</v>
      </c>
    </row>
    <row r="13" spans="1:3" x14ac:dyDescent="0.25">
      <c r="A13" s="80">
        <v>29</v>
      </c>
      <c r="B13" s="77">
        <v>0.15</v>
      </c>
      <c r="C13" s="78">
        <v>27.137</v>
      </c>
    </row>
    <row r="14" spans="1:3" x14ac:dyDescent="0.25">
      <c r="A14" s="80">
        <v>30</v>
      </c>
      <c r="B14" s="77">
        <v>0.15</v>
      </c>
      <c r="C14" s="78">
        <v>26.693999999999999</v>
      </c>
    </row>
    <row r="15" spans="1:3" x14ac:dyDescent="0.25">
      <c r="A15" s="80">
        <v>31</v>
      </c>
      <c r="B15" s="77">
        <v>0.16</v>
      </c>
      <c r="C15" s="78">
        <v>26.242000000000001</v>
      </c>
    </row>
    <row r="16" spans="1:3" x14ac:dyDescent="0.25">
      <c r="A16" s="80">
        <v>32</v>
      </c>
      <c r="B16" s="77">
        <v>0.18</v>
      </c>
      <c r="C16" s="78">
        <v>25.744</v>
      </c>
    </row>
    <row r="17" spans="1:3" x14ac:dyDescent="0.25">
      <c r="A17" s="80">
        <v>33</v>
      </c>
      <c r="B17" s="77">
        <v>0.19</v>
      </c>
      <c r="C17" s="78">
        <v>25.199000000000002</v>
      </c>
    </row>
    <row r="18" spans="1:3" x14ac:dyDescent="0.25">
      <c r="A18" s="80">
        <v>34</v>
      </c>
      <c r="B18" s="77">
        <v>0.2</v>
      </c>
      <c r="C18" s="78">
        <v>24.716000000000001</v>
      </c>
    </row>
    <row r="19" spans="1:3" x14ac:dyDescent="0.25">
      <c r="A19" s="80">
        <v>35</v>
      </c>
      <c r="B19" s="77">
        <v>0.22</v>
      </c>
      <c r="C19" s="78">
        <v>24.224</v>
      </c>
    </row>
    <row r="20" spans="1:3" x14ac:dyDescent="0.25">
      <c r="A20" s="80">
        <v>36</v>
      </c>
      <c r="B20" s="77">
        <v>0.23</v>
      </c>
      <c r="C20" s="78">
        <v>23.645</v>
      </c>
    </row>
    <row r="21" spans="1:3" x14ac:dyDescent="0.25">
      <c r="A21" s="80">
        <v>37</v>
      </c>
      <c r="B21" s="77">
        <v>0.25</v>
      </c>
      <c r="C21" s="78">
        <v>23.091999999999999</v>
      </c>
    </row>
    <row r="22" spans="1:3" x14ac:dyDescent="0.25">
      <c r="A22" s="80">
        <v>38</v>
      </c>
      <c r="B22" s="77">
        <v>0.27</v>
      </c>
      <c r="C22" s="78">
        <v>22.568000000000001</v>
      </c>
    </row>
    <row r="23" spans="1:3" x14ac:dyDescent="0.25">
      <c r="A23" s="80">
        <v>39</v>
      </c>
      <c r="B23" s="77">
        <v>0.31</v>
      </c>
      <c r="C23" s="78">
        <v>22.033999999999999</v>
      </c>
    </row>
    <row r="24" spans="1:3" x14ac:dyDescent="0.25">
      <c r="A24" s="80">
        <v>40</v>
      </c>
      <c r="B24" s="77">
        <v>0.34</v>
      </c>
      <c r="C24" s="78">
        <v>21.363</v>
      </c>
    </row>
    <row r="25" spans="1:3" x14ac:dyDescent="0.25">
      <c r="A25" s="80">
        <v>41</v>
      </c>
      <c r="B25" s="77">
        <v>0.37</v>
      </c>
      <c r="C25" s="78">
        <v>20.806000000000001</v>
      </c>
    </row>
    <row r="26" spans="1:3" x14ac:dyDescent="0.25">
      <c r="A26" s="80">
        <v>42</v>
      </c>
      <c r="B26" s="77">
        <v>0.42</v>
      </c>
      <c r="C26" s="78">
        <v>20.238</v>
      </c>
    </row>
    <row r="27" spans="1:3" x14ac:dyDescent="0.25">
      <c r="A27" s="80">
        <v>43</v>
      </c>
      <c r="B27" s="77">
        <v>0.46</v>
      </c>
      <c r="C27" s="78">
        <v>19.614000000000001</v>
      </c>
    </row>
    <row r="28" spans="1:3" x14ac:dyDescent="0.25">
      <c r="A28" s="80">
        <v>44</v>
      </c>
      <c r="B28" s="77">
        <v>0.52</v>
      </c>
      <c r="C28" s="78">
        <v>18.93</v>
      </c>
    </row>
    <row r="29" spans="1:3" x14ac:dyDescent="0.25">
      <c r="A29" s="80">
        <v>45</v>
      </c>
      <c r="B29" s="77">
        <v>0.56999999999999995</v>
      </c>
      <c r="C29" s="78">
        <v>18.327000000000002</v>
      </c>
    </row>
    <row r="30" spans="1:3" x14ac:dyDescent="0.25">
      <c r="A30" s="80">
        <v>46</v>
      </c>
      <c r="B30" s="77">
        <v>0.64</v>
      </c>
      <c r="C30" s="78">
        <v>17.664000000000001</v>
      </c>
    </row>
    <row r="31" spans="1:3" x14ac:dyDescent="0.25">
      <c r="A31" s="80">
        <v>47</v>
      </c>
      <c r="B31" s="77">
        <v>0.74</v>
      </c>
      <c r="C31" s="78">
        <v>16.940000000000001</v>
      </c>
    </row>
    <row r="32" spans="1:3" x14ac:dyDescent="0.25">
      <c r="A32" s="80">
        <v>48</v>
      </c>
      <c r="B32" s="77">
        <v>0.82</v>
      </c>
      <c r="C32" s="78">
        <v>16.300999999999998</v>
      </c>
    </row>
    <row r="33" spans="1:3" x14ac:dyDescent="0.25">
      <c r="A33" s="80">
        <v>49</v>
      </c>
      <c r="B33" s="77">
        <v>0.92</v>
      </c>
      <c r="C33" s="78">
        <v>15.545999999999999</v>
      </c>
    </row>
    <row r="34" spans="1:3" x14ac:dyDescent="0.25">
      <c r="A34" s="80">
        <v>50</v>
      </c>
      <c r="B34" s="77">
        <v>1.03</v>
      </c>
      <c r="C34" s="78">
        <v>14.827999999999999</v>
      </c>
    </row>
    <row r="35" spans="1:3" x14ac:dyDescent="0.25">
      <c r="A35" s="80">
        <v>51</v>
      </c>
      <c r="B35" s="77">
        <v>1.17</v>
      </c>
      <c r="C35" s="78">
        <v>14.148999999999999</v>
      </c>
    </row>
    <row r="36" spans="1:3" x14ac:dyDescent="0.25">
      <c r="A36" s="80">
        <v>52</v>
      </c>
      <c r="B36" s="77">
        <v>1.31</v>
      </c>
      <c r="C36" s="78">
        <v>13.458</v>
      </c>
    </row>
    <row r="37" spans="1:3" x14ac:dyDescent="0.25">
      <c r="A37" s="80">
        <v>53</v>
      </c>
      <c r="B37" s="77">
        <v>1.48</v>
      </c>
      <c r="C37" s="78">
        <v>12.584</v>
      </c>
    </row>
    <row r="38" spans="1:3" x14ac:dyDescent="0.25">
      <c r="A38" s="80">
        <v>54</v>
      </c>
      <c r="B38" s="77">
        <v>1.64</v>
      </c>
      <c r="C38" s="78">
        <v>11.863</v>
      </c>
    </row>
    <row r="39" spans="1:3" x14ac:dyDescent="0.25">
      <c r="A39" s="80">
        <v>55</v>
      </c>
      <c r="B39" s="77">
        <v>1.88</v>
      </c>
      <c r="C39" s="78">
        <v>11.067</v>
      </c>
    </row>
    <row r="40" spans="1:3" x14ac:dyDescent="0.25">
      <c r="A40" s="80">
        <v>56</v>
      </c>
      <c r="B40" s="77">
        <v>2.0699999999999998</v>
      </c>
      <c r="C40" s="78">
        <v>10.191000000000001</v>
      </c>
    </row>
    <row r="41" spans="1:3" x14ac:dyDescent="0.25">
      <c r="A41" s="80">
        <v>57</v>
      </c>
      <c r="B41" s="77">
        <v>2.3199999999999998</v>
      </c>
      <c r="C41" s="78">
        <v>9.4220000000000006</v>
      </c>
    </row>
    <row r="42" spans="1:3" x14ac:dyDescent="0.25">
      <c r="A42" s="80">
        <v>58</v>
      </c>
      <c r="B42" s="77">
        <v>2.62</v>
      </c>
      <c r="C42" s="78">
        <v>8.6359999999999992</v>
      </c>
    </row>
    <row r="43" spans="1:3" x14ac:dyDescent="0.25">
      <c r="A43" s="80">
        <v>59</v>
      </c>
      <c r="B43" s="77">
        <v>2.84</v>
      </c>
      <c r="C43" s="78">
        <v>7.7690000000000001</v>
      </c>
    </row>
    <row r="44" spans="1:3" x14ac:dyDescent="0.25">
      <c r="A44" s="80">
        <v>60</v>
      </c>
      <c r="B44" s="77">
        <v>3.24</v>
      </c>
      <c r="C44" s="78">
        <v>6.8129999999999997</v>
      </c>
    </row>
    <row r="45" spans="1:3" x14ac:dyDescent="0.25">
      <c r="A45" s="80">
        <v>61</v>
      </c>
      <c r="B45" s="77">
        <v>3.44</v>
      </c>
      <c r="C45" s="78">
        <v>5.9720000000000004</v>
      </c>
    </row>
    <row r="46" spans="1:3" x14ac:dyDescent="0.25">
      <c r="A46" s="80">
        <v>62</v>
      </c>
      <c r="B46" s="77">
        <v>3.85</v>
      </c>
      <c r="C46" s="78">
        <v>4.9690000000000003</v>
      </c>
    </row>
    <row r="47" spans="1:3" x14ac:dyDescent="0.25">
      <c r="A47" s="80">
        <v>63</v>
      </c>
      <c r="B47" s="77">
        <v>4.2699999999999996</v>
      </c>
      <c r="C47" s="78">
        <v>4.0119999999999996</v>
      </c>
    </row>
    <row r="48" spans="1:3" x14ac:dyDescent="0.25">
      <c r="A48" s="80">
        <v>64</v>
      </c>
      <c r="B48" s="77">
        <v>4.68</v>
      </c>
      <c r="C48" s="78">
        <v>3.1070000000000002</v>
      </c>
    </row>
    <row r="49" spans="1:3" x14ac:dyDescent="0.25">
      <c r="A49" s="80">
        <v>65</v>
      </c>
      <c r="B49" s="77">
        <v>5.14</v>
      </c>
      <c r="C49" s="78">
        <v>1.9450000000000001</v>
      </c>
    </row>
    <row r="50" spans="1:3" x14ac:dyDescent="0.25">
      <c r="A50" s="80">
        <v>66</v>
      </c>
      <c r="B50" s="77">
        <v>5.61</v>
      </c>
      <c r="C50" s="78">
        <v>0.98599999999999999</v>
      </c>
    </row>
    <row r="51" spans="1:3" x14ac:dyDescent="0.25">
      <c r="A51" s="80">
        <v>67</v>
      </c>
      <c r="B51" s="77">
        <v>6.31</v>
      </c>
      <c r="C51" s="78">
        <v>0</v>
      </c>
    </row>
    <row r="52" spans="1:3" x14ac:dyDescent="0.25">
      <c r="A52" s="80">
        <v>68</v>
      </c>
      <c r="B52" s="77">
        <v>7.02</v>
      </c>
      <c r="C52" s="78">
        <v>0</v>
      </c>
    </row>
    <row r="53" spans="1:3" x14ac:dyDescent="0.25">
      <c r="A53" s="80">
        <v>69</v>
      </c>
      <c r="B53" s="77">
        <v>7.88</v>
      </c>
      <c r="C53" s="78">
        <v>0</v>
      </c>
    </row>
    <row r="54" spans="1:3" x14ac:dyDescent="0.25">
      <c r="A54" s="80">
        <v>70</v>
      </c>
      <c r="B54" s="77">
        <v>8.74</v>
      </c>
      <c r="C54" s="78">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8"/>
  <dimension ref="A1:U43"/>
  <sheetViews>
    <sheetView workbookViewId="0">
      <selection activeCell="L32" sqref="L32"/>
    </sheetView>
  </sheetViews>
  <sheetFormatPr defaultRowHeight="15" x14ac:dyDescent="0.25"/>
  <cols>
    <col min="2" max="3" width="12.42578125" bestFit="1" customWidth="1"/>
    <col min="4" max="5" width="14.42578125" bestFit="1" customWidth="1"/>
    <col min="6" max="6" width="17" bestFit="1" customWidth="1"/>
    <col min="7" max="7" width="24.5703125" bestFit="1" customWidth="1"/>
    <col min="8" max="8" width="17.7109375" bestFit="1" customWidth="1"/>
    <col min="9" max="9" width="17.28515625" customWidth="1"/>
    <col min="10" max="12" width="12.42578125" customWidth="1"/>
    <col min="13" max="13" width="10.42578125" bestFit="1" customWidth="1"/>
    <col min="14" max="14" width="12.42578125" hidden="1" customWidth="1"/>
    <col min="15" max="17" width="12.42578125" bestFit="1" customWidth="1"/>
    <col min="18" max="19" width="11.42578125" bestFit="1" customWidth="1"/>
    <col min="20" max="20" width="11.7109375" bestFit="1" customWidth="1"/>
    <col min="21" max="21" width="10.42578125" bestFit="1" customWidth="1"/>
  </cols>
  <sheetData>
    <row r="1" spans="1:21" x14ac:dyDescent="0.25">
      <c r="B1" s="3" t="s">
        <v>141</v>
      </c>
      <c r="C1" s="4">
        <v>14750</v>
      </c>
    </row>
    <row r="2" spans="1:21" x14ac:dyDescent="0.25">
      <c r="B2" s="3" t="s">
        <v>142</v>
      </c>
      <c r="C2" s="3">
        <v>1976</v>
      </c>
    </row>
    <row r="3" spans="1:21" x14ac:dyDescent="0.25">
      <c r="B3" s="3" t="s">
        <v>143</v>
      </c>
      <c r="C3" s="4">
        <v>100000</v>
      </c>
    </row>
    <row r="4" spans="1:21" x14ac:dyDescent="0.25">
      <c r="B4" s="3" t="s">
        <v>144</v>
      </c>
      <c r="C4" s="3" t="e">
        <f>Franchise1/Normuren1</f>
        <v>#NAME?</v>
      </c>
    </row>
    <row r="5" spans="1:21" x14ac:dyDescent="0.25">
      <c r="B5" s="3" t="s">
        <v>145</v>
      </c>
      <c r="C5" s="3" t="e">
        <f>MaxLoon1/Normuren1</f>
        <v>#NAME?</v>
      </c>
    </row>
    <row r="6" spans="1:21" x14ac:dyDescent="0.25">
      <c r="B6" s="3" t="s">
        <v>146</v>
      </c>
      <c r="C6" s="5">
        <v>0</v>
      </c>
    </row>
    <row r="7" spans="1:21" x14ac:dyDescent="0.25">
      <c r="B7" s="3" t="s">
        <v>147</v>
      </c>
      <c r="C7" s="5">
        <v>0.22</v>
      </c>
    </row>
    <row r="9" spans="1:21" x14ac:dyDescent="0.25">
      <c r="B9" s="195" t="s">
        <v>20</v>
      </c>
      <c r="C9" s="195"/>
    </row>
    <row r="10" spans="1:21" x14ac:dyDescent="0.25">
      <c r="B10" s="3" t="s">
        <v>148</v>
      </c>
      <c r="C10" s="3" t="s">
        <v>149</v>
      </c>
      <c r="D10" s="3" t="s">
        <v>150</v>
      </c>
      <c r="E10" s="3" t="s">
        <v>151</v>
      </c>
      <c r="F10" s="3" t="s">
        <v>152</v>
      </c>
      <c r="G10" s="3" t="s">
        <v>153</v>
      </c>
      <c r="H10" s="3" t="s">
        <v>154</v>
      </c>
      <c r="I10" s="3" t="s">
        <v>155</v>
      </c>
      <c r="J10" s="3" t="s">
        <v>141</v>
      </c>
      <c r="K10" s="3" t="s">
        <v>156</v>
      </c>
      <c r="L10" s="3" t="s">
        <v>157</v>
      </c>
      <c r="M10" s="3" t="s">
        <v>158</v>
      </c>
      <c r="N10" s="3"/>
      <c r="O10" s="3" t="s">
        <v>159</v>
      </c>
      <c r="P10" s="3" t="s">
        <v>155</v>
      </c>
      <c r="Q10" s="3" t="s">
        <v>160</v>
      </c>
      <c r="R10" s="3" t="s">
        <v>141</v>
      </c>
      <c r="S10" s="3" t="s">
        <v>156</v>
      </c>
      <c r="T10" s="3" t="s">
        <v>161</v>
      </c>
      <c r="U10" s="3" t="s">
        <v>158</v>
      </c>
    </row>
    <row r="11" spans="1:21" x14ac:dyDescent="0.25">
      <c r="A11">
        <v>1</v>
      </c>
      <c r="B11" s="7">
        <v>44562</v>
      </c>
      <c r="C11" s="7">
        <v>44592</v>
      </c>
      <c r="D11" s="3">
        <v>158</v>
      </c>
      <c r="E11" s="3">
        <f>D11</f>
        <v>158</v>
      </c>
      <c r="F11" s="4">
        <f>ROUND(D11*G11,2)</f>
        <v>11850</v>
      </c>
      <c r="G11" s="4">
        <v>75</v>
      </c>
      <c r="H11" s="4">
        <f>F11</f>
        <v>11850</v>
      </c>
      <c r="I11" s="4" t="e">
        <f t="shared" ref="I11:I22" si="0">ROUND(MIN(H11,MIN(E11,Normuren1)*MaxUurloon1),2)</f>
        <v>#NAME?</v>
      </c>
      <c r="J11" s="4" t="e">
        <f t="shared" ref="J11:J22" si="1">ROUND(MIN(E11,Normuren1)*Uurfranchise1,2)</f>
        <v>#NAME?</v>
      </c>
      <c r="K11" s="4" t="e">
        <f>I11-J11</f>
        <v>#NAME?</v>
      </c>
      <c r="L11" s="4" t="e">
        <f t="shared" ref="L11:L22" si="2">ROUND(K11*PremiePct1,2)</f>
        <v>#NAME?</v>
      </c>
      <c r="M11" s="4" t="e">
        <f>L11</f>
        <v>#NAME?</v>
      </c>
      <c r="N11" s="4"/>
      <c r="O11" s="4" t="e">
        <f t="shared" ref="O11:O22" si="3">ROUND((H11-Uurfranchise1*E11*WnBijdrage1)/(1-WnBijdrage1),2)</f>
        <v>#NAME?</v>
      </c>
      <c r="P11" s="4" t="e">
        <f t="shared" ref="P11:P22" si="4">ROUND(O11-MAX(0,O11-(MaxUurloon1*MIN(E11,Normuren1)))*WnBijdrage1-MIN(0,O11-(Uurfranchise1*MIN(E11,Normuren1)))*WnBijdrage1,2)</f>
        <v>#NAME?</v>
      </c>
      <c r="Q11" s="4" t="e">
        <f t="shared" ref="Q11:Q22" si="5">ROUND(MIN(MaxUurloon1*MIN(E11,Normuren1),P11),2)</f>
        <v>#NAME?</v>
      </c>
      <c r="R11" s="4" t="e">
        <f t="shared" ref="R11:R22" si="6">ROUND(MIN(E11,Normuren1)*Uurfranchise1,2)</f>
        <v>#NAME?</v>
      </c>
      <c r="S11" s="4" t="e">
        <f>Q11-R11</f>
        <v>#NAME?</v>
      </c>
      <c r="T11" s="4" t="e">
        <f t="shared" ref="T11:T22" si="7">ROUND(S11*PremiePct1,2)</f>
        <v>#NAME?</v>
      </c>
      <c r="U11" s="4" t="e">
        <f>T11</f>
        <v>#NAME?</v>
      </c>
    </row>
    <row r="12" spans="1:21" x14ac:dyDescent="0.25">
      <c r="A12">
        <v>2</v>
      </c>
      <c r="B12" s="7">
        <v>44593</v>
      </c>
      <c r="C12" s="7">
        <v>44620</v>
      </c>
      <c r="D12" s="3">
        <v>134</v>
      </c>
      <c r="E12" s="3">
        <f>IF(D12="","",D12+E11)</f>
        <v>292</v>
      </c>
      <c r="F12" s="4">
        <f t="shared" ref="F12:F22" si="8">ROUND(D12*G12,2)</f>
        <v>10050</v>
      </c>
      <c r="G12" s="4">
        <v>75</v>
      </c>
      <c r="H12" s="4">
        <f>F12+H11</f>
        <v>21900</v>
      </c>
      <c r="I12" s="4" t="e">
        <f t="shared" si="0"/>
        <v>#NAME?</v>
      </c>
      <c r="J12" s="4" t="e">
        <f t="shared" si="1"/>
        <v>#NAME?</v>
      </c>
      <c r="K12" s="4" t="e">
        <f t="shared" ref="K12:K22" si="9">I12-J12</f>
        <v>#NAME?</v>
      </c>
      <c r="L12" s="4" t="e">
        <f t="shared" si="2"/>
        <v>#NAME?</v>
      </c>
      <c r="M12" s="4" t="e">
        <f>L12-L11</f>
        <v>#NAME?</v>
      </c>
      <c r="N12" s="4"/>
      <c r="O12" s="4" t="e">
        <f t="shared" si="3"/>
        <v>#NAME?</v>
      </c>
      <c r="P12" s="4" t="e">
        <f t="shared" si="4"/>
        <v>#NAME?</v>
      </c>
      <c r="Q12" s="4" t="e">
        <f t="shared" si="5"/>
        <v>#NAME?</v>
      </c>
      <c r="R12" s="4" t="e">
        <f t="shared" si="6"/>
        <v>#NAME?</v>
      </c>
      <c r="S12" s="4" t="e">
        <f t="shared" ref="S12:S22" si="10">Q12-R12</f>
        <v>#NAME?</v>
      </c>
      <c r="T12" s="4" t="e">
        <f t="shared" si="7"/>
        <v>#NAME?</v>
      </c>
      <c r="U12" s="4" t="e">
        <f>T12-T11</f>
        <v>#NAME?</v>
      </c>
    </row>
    <row r="13" spans="1:21" x14ac:dyDescent="0.25">
      <c r="A13">
        <v>3</v>
      </c>
      <c r="B13" s="7">
        <v>44621</v>
      </c>
      <c r="C13" s="7">
        <v>44651</v>
      </c>
      <c r="D13" s="3">
        <v>159</v>
      </c>
      <c r="E13" s="3">
        <f t="shared" ref="E13:E22" si="11">IF(D13="","",D13+E12)</f>
        <v>451</v>
      </c>
      <c r="F13" s="4">
        <f t="shared" si="8"/>
        <v>11925</v>
      </c>
      <c r="G13" s="4">
        <v>75</v>
      </c>
      <c r="H13" s="4">
        <f>F13+H12</f>
        <v>33825</v>
      </c>
      <c r="I13" s="4" t="e">
        <f t="shared" si="0"/>
        <v>#NAME?</v>
      </c>
      <c r="J13" s="4" t="e">
        <f t="shared" si="1"/>
        <v>#NAME?</v>
      </c>
      <c r="K13" s="4" t="e">
        <f t="shared" si="9"/>
        <v>#NAME?</v>
      </c>
      <c r="L13" s="4" t="e">
        <f t="shared" si="2"/>
        <v>#NAME?</v>
      </c>
      <c r="M13" s="4" t="e">
        <f t="shared" ref="M13:M22" si="12">L13-L12</f>
        <v>#NAME?</v>
      </c>
      <c r="N13" s="4"/>
      <c r="O13" s="4" t="e">
        <f t="shared" si="3"/>
        <v>#NAME?</v>
      </c>
      <c r="P13" s="4" t="e">
        <f t="shared" si="4"/>
        <v>#NAME?</v>
      </c>
      <c r="Q13" s="4" t="e">
        <f t="shared" si="5"/>
        <v>#NAME?</v>
      </c>
      <c r="R13" s="4" t="e">
        <f t="shared" si="6"/>
        <v>#NAME?</v>
      </c>
      <c r="S13" s="4" t="e">
        <f t="shared" si="10"/>
        <v>#NAME?</v>
      </c>
      <c r="T13" s="4" t="e">
        <f t="shared" si="7"/>
        <v>#NAME?</v>
      </c>
      <c r="U13" s="4" t="e">
        <f>T13-T12</f>
        <v>#NAME?</v>
      </c>
    </row>
    <row r="14" spans="1:21" x14ac:dyDescent="0.25">
      <c r="A14">
        <v>4</v>
      </c>
      <c r="B14" s="7">
        <v>44652</v>
      </c>
      <c r="C14" s="7">
        <v>44681</v>
      </c>
      <c r="D14" s="3">
        <v>142</v>
      </c>
      <c r="E14" s="3">
        <f t="shared" si="11"/>
        <v>593</v>
      </c>
      <c r="F14" s="4">
        <f t="shared" si="8"/>
        <v>10650</v>
      </c>
      <c r="G14" s="4">
        <v>75</v>
      </c>
      <c r="H14" s="4">
        <f>F14+H13</f>
        <v>44475</v>
      </c>
      <c r="I14" s="4" t="e">
        <f t="shared" si="0"/>
        <v>#NAME?</v>
      </c>
      <c r="J14" s="4" t="e">
        <f t="shared" si="1"/>
        <v>#NAME?</v>
      </c>
      <c r="K14" s="4" t="e">
        <f t="shared" si="9"/>
        <v>#NAME?</v>
      </c>
      <c r="L14" s="4" t="e">
        <f t="shared" si="2"/>
        <v>#NAME?</v>
      </c>
      <c r="M14" s="4" t="e">
        <f t="shared" si="12"/>
        <v>#NAME?</v>
      </c>
      <c r="N14" s="4"/>
      <c r="O14" s="4" t="e">
        <f t="shared" si="3"/>
        <v>#NAME?</v>
      </c>
      <c r="P14" s="4" t="e">
        <f t="shared" si="4"/>
        <v>#NAME?</v>
      </c>
      <c r="Q14" s="4" t="e">
        <f t="shared" si="5"/>
        <v>#NAME?</v>
      </c>
      <c r="R14" s="4" t="e">
        <f t="shared" si="6"/>
        <v>#NAME?</v>
      </c>
      <c r="S14" s="4" t="e">
        <f t="shared" si="10"/>
        <v>#NAME?</v>
      </c>
      <c r="T14" s="4" t="e">
        <f t="shared" si="7"/>
        <v>#NAME?</v>
      </c>
      <c r="U14" s="4" t="e">
        <f>T14-T13</f>
        <v>#NAME?</v>
      </c>
    </row>
    <row r="15" spans="1:21" x14ac:dyDescent="0.25">
      <c r="A15">
        <v>5</v>
      </c>
      <c r="B15" s="7">
        <v>44682</v>
      </c>
      <c r="C15" s="7">
        <v>44712</v>
      </c>
      <c r="D15" s="3">
        <v>156</v>
      </c>
      <c r="E15" s="3">
        <f t="shared" si="11"/>
        <v>749</v>
      </c>
      <c r="F15" s="4">
        <f t="shared" si="8"/>
        <v>11700</v>
      </c>
      <c r="G15" s="4">
        <v>75</v>
      </c>
      <c r="H15" s="4">
        <f t="shared" ref="H15:H22" si="13">F15+H14</f>
        <v>56175</v>
      </c>
      <c r="I15" s="4" t="e">
        <f t="shared" si="0"/>
        <v>#NAME?</v>
      </c>
      <c r="J15" s="4" t="e">
        <f t="shared" si="1"/>
        <v>#NAME?</v>
      </c>
      <c r="K15" s="4" t="e">
        <f t="shared" si="9"/>
        <v>#NAME?</v>
      </c>
      <c r="L15" s="4" t="e">
        <f t="shared" si="2"/>
        <v>#NAME?</v>
      </c>
      <c r="M15" s="4" t="e">
        <f t="shared" si="12"/>
        <v>#NAME?</v>
      </c>
      <c r="N15" s="4"/>
      <c r="O15" s="4" t="e">
        <f t="shared" si="3"/>
        <v>#NAME?</v>
      </c>
      <c r="P15" s="4" t="e">
        <f t="shared" si="4"/>
        <v>#NAME?</v>
      </c>
      <c r="Q15" s="4" t="e">
        <f t="shared" si="5"/>
        <v>#NAME?</v>
      </c>
      <c r="R15" s="4" t="e">
        <f t="shared" si="6"/>
        <v>#NAME?</v>
      </c>
      <c r="S15" s="4" t="e">
        <f t="shared" si="10"/>
        <v>#NAME?</v>
      </c>
      <c r="T15" s="4" t="e">
        <f t="shared" si="7"/>
        <v>#NAME?</v>
      </c>
      <c r="U15" s="4" t="e">
        <f t="shared" ref="U15:U22" si="14">T15-T14</f>
        <v>#NAME?</v>
      </c>
    </row>
    <row r="16" spans="1:21" x14ac:dyDescent="0.25">
      <c r="A16">
        <v>6</v>
      </c>
      <c r="B16" s="7">
        <v>44713</v>
      </c>
      <c r="C16" s="7">
        <v>44742</v>
      </c>
      <c r="D16" s="3">
        <v>127</v>
      </c>
      <c r="E16" s="3">
        <f t="shared" si="11"/>
        <v>876</v>
      </c>
      <c r="F16" s="4">
        <f t="shared" si="8"/>
        <v>9525</v>
      </c>
      <c r="G16" s="4">
        <v>75</v>
      </c>
      <c r="H16" s="4">
        <f t="shared" si="13"/>
        <v>65700</v>
      </c>
      <c r="I16" s="4" t="e">
        <f t="shared" si="0"/>
        <v>#NAME?</v>
      </c>
      <c r="J16" s="4" t="e">
        <f t="shared" si="1"/>
        <v>#NAME?</v>
      </c>
      <c r="K16" s="4" t="e">
        <f t="shared" si="9"/>
        <v>#NAME?</v>
      </c>
      <c r="L16" s="4" t="e">
        <f t="shared" si="2"/>
        <v>#NAME?</v>
      </c>
      <c r="M16" s="4" t="e">
        <f t="shared" si="12"/>
        <v>#NAME?</v>
      </c>
      <c r="N16" s="4"/>
      <c r="O16" s="4" t="e">
        <f t="shared" si="3"/>
        <v>#NAME?</v>
      </c>
      <c r="P16" s="4" t="e">
        <f t="shared" si="4"/>
        <v>#NAME?</v>
      </c>
      <c r="Q16" s="4" t="e">
        <f t="shared" si="5"/>
        <v>#NAME?</v>
      </c>
      <c r="R16" s="4" t="e">
        <f t="shared" si="6"/>
        <v>#NAME?</v>
      </c>
      <c r="S16" s="4" t="e">
        <f t="shared" si="10"/>
        <v>#NAME?</v>
      </c>
      <c r="T16" s="4" t="e">
        <f t="shared" si="7"/>
        <v>#NAME?</v>
      </c>
      <c r="U16" s="4" t="e">
        <f t="shared" si="14"/>
        <v>#NAME?</v>
      </c>
    </row>
    <row r="17" spans="1:21" x14ac:dyDescent="0.25">
      <c r="A17">
        <v>7</v>
      </c>
      <c r="B17" s="7">
        <v>44743</v>
      </c>
      <c r="C17" s="7">
        <v>44773</v>
      </c>
      <c r="D17" s="3">
        <v>164</v>
      </c>
      <c r="E17" s="3">
        <f t="shared" si="11"/>
        <v>1040</v>
      </c>
      <c r="F17" s="4">
        <f t="shared" si="8"/>
        <v>12300</v>
      </c>
      <c r="G17" s="4">
        <v>75</v>
      </c>
      <c r="H17" s="4">
        <f t="shared" si="13"/>
        <v>78000</v>
      </c>
      <c r="I17" s="4" t="e">
        <f t="shared" si="0"/>
        <v>#NAME?</v>
      </c>
      <c r="J17" s="4" t="e">
        <f t="shared" si="1"/>
        <v>#NAME?</v>
      </c>
      <c r="K17" s="4" t="e">
        <f t="shared" si="9"/>
        <v>#NAME?</v>
      </c>
      <c r="L17" s="4" t="e">
        <f t="shared" si="2"/>
        <v>#NAME?</v>
      </c>
      <c r="M17" s="4" t="e">
        <f t="shared" si="12"/>
        <v>#NAME?</v>
      </c>
      <c r="N17" s="4"/>
      <c r="O17" s="4" t="e">
        <f t="shared" si="3"/>
        <v>#NAME?</v>
      </c>
      <c r="P17" s="4" t="e">
        <f t="shared" si="4"/>
        <v>#NAME?</v>
      </c>
      <c r="Q17" s="4" t="e">
        <f t="shared" si="5"/>
        <v>#NAME?</v>
      </c>
      <c r="R17" s="4" t="e">
        <f t="shared" si="6"/>
        <v>#NAME?</v>
      </c>
      <c r="S17" s="4" t="e">
        <f t="shared" si="10"/>
        <v>#NAME?</v>
      </c>
      <c r="T17" s="4" t="e">
        <f t="shared" si="7"/>
        <v>#NAME?</v>
      </c>
      <c r="U17" s="4" t="e">
        <f t="shared" si="14"/>
        <v>#NAME?</v>
      </c>
    </row>
    <row r="18" spans="1:21" x14ac:dyDescent="0.25">
      <c r="A18">
        <v>8</v>
      </c>
      <c r="B18" s="7">
        <v>44774</v>
      </c>
      <c r="C18" s="7">
        <v>44804</v>
      </c>
      <c r="D18" s="3">
        <v>135</v>
      </c>
      <c r="E18" s="3">
        <f t="shared" si="11"/>
        <v>1175</v>
      </c>
      <c r="F18" s="4">
        <f t="shared" si="8"/>
        <v>10125</v>
      </c>
      <c r="G18" s="4">
        <v>75</v>
      </c>
      <c r="H18" s="4">
        <f t="shared" si="13"/>
        <v>88125</v>
      </c>
      <c r="I18" s="4" t="e">
        <f t="shared" si="0"/>
        <v>#NAME?</v>
      </c>
      <c r="J18" s="4" t="e">
        <f t="shared" si="1"/>
        <v>#NAME?</v>
      </c>
      <c r="K18" s="4" t="e">
        <f t="shared" si="9"/>
        <v>#NAME?</v>
      </c>
      <c r="L18" s="4" t="e">
        <f t="shared" si="2"/>
        <v>#NAME?</v>
      </c>
      <c r="M18" s="4" t="e">
        <f t="shared" si="12"/>
        <v>#NAME?</v>
      </c>
      <c r="N18" s="4"/>
      <c r="O18" s="4" t="e">
        <f t="shared" si="3"/>
        <v>#NAME?</v>
      </c>
      <c r="P18" s="4" t="e">
        <f t="shared" si="4"/>
        <v>#NAME?</v>
      </c>
      <c r="Q18" s="4" t="e">
        <f t="shared" si="5"/>
        <v>#NAME?</v>
      </c>
      <c r="R18" s="4" t="e">
        <f t="shared" si="6"/>
        <v>#NAME?</v>
      </c>
      <c r="S18" s="4" t="e">
        <f t="shared" si="10"/>
        <v>#NAME?</v>
      </c>
      <c r="T18" s="4" t="e">
        <f t="shared" si="7"/>
        <v>#NAME?</v>
      </c>
      <c r="U18" s="4" t="e">
        <f t="shared" si="14"/>
        <v>#NAME?</v>
      </c>
    </row>
    <row r="19" spans="1:21" x14ac:dyDescent="0.25">
      <c r="A19">
        <v>9</v>
      </c>
      <c r="B19" s="7">
        <v>44805</v>
      </c>
      <c r="C19" s="7">
        <v>44834</v>
      </c>
      <c r="D19" s="3">
        <v>136</v>
      </c>
      <c r="E19" s="3">
        <f t="shared" si="11"/>
        <v>1311</v>
      </c>
      <c r="F19" s="4">
        <f t="shared" si="8"/>
        <v>10200</v>
      </c>
      <c r="G19" s="4">
        <v>75</v>
      </c>
      <c r="H19" s="4">
        <f t="shared" si="13"/>
        <v>98325</v>
      </c>
      <c r="I19" s="4" t="e">
        <f t="shared" si="0"/>
        <v>#NAME?</v>
      </c>
      <c r="J19" s="4" t="e">
        <f t="shared" si="1"/>
        <v>#NAME?</v>
      </c>
      <c r="K19" s="4" t="e">
        <f t="shared" si="9"/>
        <v>#NAME?</v>
      </c>
      <c r="L19" s="4" t="e">
        <f t="shared" si="2"/>
        <v>#NAME?</v>
      </c>
      <c r="M19" s="4" t="e">
        <f t="shared" si="12"/>
        <v>#NAME?</v>
      </c>
      <c r="N19" s="4"/>
      <c r="O19" s="4" t="e">
        <f t="shared" si="3"/>
        <v>#NAME?</v>
      </c>
      <c r="P19" s="4" t="e">
        <f t="shared" si="4"/>
        <v>#NAME?</v>
      </c>
      <c r="Q19" s="4" t="e">
        <f t="shared" si="5"/>
        <v>#NAME?</v>
      </c>
      <c r="R19" s="4" t="e">
        <f t="shared" si="6"/>
        <v>#NAME?</v>
      </c>
      <c r="S19" s="4" t="e">
        <f t="shared" si="10"/>
        <v>#NAME?</v>
      </c>
      <c r="T19" s="4" t="e">
        <f t="shared" si="7"/>
        <v>#NAME?</v>
      </c>
      <c r="U19" s="4" t="e">
        <f t="shared" si="14"/>
        <v>#NAME?</v>
      </c>
    </row>
    <row r="20" spans="1:21" x14ac:dyDescent="0.25">
      <c r="A20">
        <v>10</v>
      </c>
      <c r="B20" s="7">
        <v>44835</v>
      </c>
      <c r="C20" s="7">
        <v>44865</v>
      </c>
      <c r="D20" s="3">
        <v>244</v>
      </c>
      <c r="E20" s="3">
        <f t="shared" si="11"/>
        <v>1555</v>
      </c>
      <c r="F20" s="4">
        <f t="shared" si="8"/>
        <v>18300</v>
      </c>
      <c r="G20" s="4">
        <v>75</v>
      </c>
      <c r="H20" s="4">
        <f t="shared" si="13"/>
        <v>116625</v>
      </c>
      <c r="I20" s="4" t="e">
        <f t="shared" si="0"/>
        <v>#NAME?</v>
      </c>
      <c r="J20" s="4" t="e">
        <f t="shared" si="1"/>
        <v>#NAME?</v>
      </c>
      <c r="K20" s="4" t="e">
        <f t="shared" si="9"/>
        <v>#NAME?</v>
      </c>
      <c r="L20" s="4" t="e">
        <f t="shared" si="2"/>
        <v>#NAME?</v>
      </c>
      <c r="M20" s="4" t="e">
        <f t="shared" si="12"/>
        <v>#NAME?</v>
      </c>
      <c r="N20" s="4"/>
      <c r="O20" s="4" t="e">
        <f t="shared" si="3"/>
        <v>#NAME?</v>
      </c>
      <c r="P20" s="4" t="e">
        <f t="shared" si="4"/>
        <v>#NAME?</v>
      </c>
      <c r="Q20" s="4" t="e">
        <f t="shared" si="5"/>
        <v>#NAME?</v>
      </c>
      <c r="R20" s="4" t="e">
        <f t="shared" si="6"/>
        <v>#NAME?</v>
      </c>
      <c r="S20" s="4" t="e">
        <f t="shared" si="10"/>
        <v>#NAME?</v>
      </c>
      <c r="T20" s="4" t="e">
        <f t="shared" si="7"/>
        <v>#NAME?</v>
      </c>
      <c r="U20" s="4" t="e">
        <f t="shared" si="14"/>
        <v>#NAME?</v>
      </c>
    </row>
    <row r="21" spans="1:21" x14ac:dyDescent="0.25">
      <c r="A21">
        <v>11</v>
      </c>
      <c r="B21" s="7">
        <v>44866</v>
      </c>
      <c r="C21" s="7">
        <v>44895</v>
      </c>
      <c r="D21" s="3">
        <v>229</v>
      </c>
      <c r="E21" s="3">
        <f t="shared" si="11"/>
        <v>1784</v>
      </c>
      <c r="F21" s="4">
        <f t="shared" si="8"/>
        <v>17175</v>
      </c>
      <c r="G21" s="4">
        <v>75</v>
      </c>
      <c r="H21" s="4">
        <f t="shared" si="13"/>
        <v>133800</v>
      </c>
      <c r="I21" s="4" t="e">
        <f t="shared" si="0"/>
        <v>#NAME?</v>
      </c>
      <c r="J21" s="4" t="e">
        <f t="shared" si="1"/>
        <v>#NAME?</v>
      </c>
      <c r="K21" s="4" t="e">
        <f t="shared" si="9"/>
        <v>#NAME?</v>
      </c>
      <c r="L21" s="4" t="e">
        <f t="shared" si="2"/>
        <v>#NAME?</v>
      </c>
      <c r="M21" s="4" t="e">
        <f t="shared" si="12"/>
        <v>#NAME?</v>
      </c>
      <c r="N21" s="4"/>
      <c r="O21" s="4" t="e">
        <f t="shared" si="3"/>
        <v>#NAME?</v>
      </c>
      <c r="P21" s="4" t="e">
        <f t="shared" si="4"/>
        <v>#NAME?</v>
      </c>
      <c r="Q21" s="4" t="e">
        <f t="shared" si="5"/>
        <v>#NAME?</v>
      </c>
      <c r="R21" s="4" t="e">
        <f t="shared" si="6"/>
        <v>#NAME?</v>
      </c>
      <c r="S21" s="4" t="e">
        <f t="shared" si="10"/>
        <v>#NAME?</v>
      </c>
      <c r="T21" s="4" t="e">
        <f t="shared" si="7"/>
        <v>#NAME?</v>
      </c>
      <c r="U21" s="4" t="e">
        <f t="shared" si="14"/>
        <v>#NAME?</v>
      </c>
    </row>
    <row r="22" spans="1:21" x14ac:dyDescent="0.25">
      <c r="A22">
        <v>12</v>
      </c>
      <c r="B22" s="7">
        <v>44896</v>
      </c>
      <c r="C22" s="7">
        <v>44926</v>
      </c>
      <c r="D22" s="3">
        <v>239</v>
      </c>
      <c r="E22" s="3">
        <f t="shared" si="11"/>
        <v>2023</v>
      </c>
      <c r="F22" s="4">
        <f t="shared" si="8"/>
        <v>17925</v>
      </c>
      <c r="G22" s="4">
        <v>75</v>
      </c>
      <c r="H22" s="4">
        <f t="shared" si="13"/>
        <v>151725</v>
      </c>
      <c r="I22" s="4" t="e">
        <f t="shared" si="0"/>
        <v>#NAME?</v>
      </c>
      <c r="J22" s="4" t="e">
        <f t="shared" si="1"/>
        <v>#NAME?</v>
      </c>
      <c r="K22" s="4" t="e">
        <f t="shared" si="9"/>
        <v>#NAME?</v>
      </c>
      <c r="L22" s="4" t="e">
        <f t="shared" si="2"/>
        <v>#NAME?</v>
      </c>
      <c r="M22" s="4" t="e">
        <f t="shared" si="12"/>
        <v>#NAME?</v>
      </c>
      <c r="N22" s="4"/>
      <c r="O22" s="4" t="e">
        <f t="shared" si="3"/>
        <v>#NAME?</v>
      </c>
      <c r="P22" s="4" t="e">
        <f t="shared" si="4"/>
        <v>#NAME?</v>
      </c>
      <c r="Q22" s="4" t="e">
        <f t="shared" si="5"/>
        <v>#NAME?</v>
      </c>
      <c r="R22" s="4" t="e">
        <f t="shared" si="6"/>
        <v>#NAME?</v>
      </c>
      <c r="S22" s="4" t="e">
        <f t="shared" si="10"/>
        <v>#NAME?</v>
      </c>
      <c r="T22" s="4" t="e">
        <f t="shared" si="7"/>
        <v>#NAME?</v>
      </c>
      <c r="U22" s="4" t="e">
        <f t="shared" si="14"/>
        <v>#NAME?</v>
      </c>
    </row>
    <row r="23" spans="1:21" x14ac:dyDescent="0.25">
      <c r="B23" s="2"/>
      <c r="C23" s="2"/>
      <c r="F23" s="15"/>
      <c r="G23" s="15"/>
      <c r="H23" s="15"/>
      <c r="I23" s="15"/>
      <c r="J23" s="15"/>
      <c r="K23" s="15"/>
      <c r="L23" s="15"/>
      <c r="M23" s="15"/>
      <c r="N23" s="15"/>
      <c r="O23" s="15"/>
      <c r="P23" s="15"/>
      <c r="Q23" s="15"/>
      <c r="R23" s="15"/>
      <c r="S23" s="15"/>
      <c r="T23" s="15"/>
      <c r="U23" s="15"/>
    </row>
    <row r="24" spans="1:21" x14ac:dyDescent="0.25">
      <c r="B24" s="2"/>
      <c r="C24" s="2"/>
      <c r="F24" s="15"/>
      <c r="G24" s="15"/>
      <c r="H24" s="15"/>
      <c r="I24" s="15"/>
      <c r="J24" s="15"/>
      <c r="K24" s="15"/>
      <c r="L24" s="15"/>
      <c r="M24" s="15"/>
      <c r="N24" s="15"/>
      <c r="O24" s="15"/>
      <c r="P24" s="15"/>
      <c r="Q24" s="15"/>
      <c r="R24" s="15"/>
      <c r="S24" s="15"/>
      <c r="T24" s="15"/>
      <c r="U24" s="15"/>
    </row>
    <row r="25" spans="1:21" x14ac:dyDescent="0.25">
      <c r="B25" s="2"/>
      <c r="C25" s="2"/>
      <c r="F25" s="15"/>
      <c r="G25" s="15"/>
      <c r="H25" s="15"/>
      <c r="I25" s="15"/>
      <c r="J25" s="15"/>
      <c r="K25" s="15"/>
      <c r="L25" s="15"/>
      <c r="M25" s="15"/>
      <c r="N25" s="15"/>
      <c r="O25" s="15"/>
      <c r="P25" s="15"/>
      <c r="Q25" s="15"/>
      <c r="R25" s="15"/>
      <c r="S25" s="15"/>
      <c r="T25" s="15"/>
      <c r="U25" s="15"/>
    </row>
    <row r="26" spans="1:21" x14ac:dyDescent="0.25">
      <c r="B26" s="2"/>
      <c r="C26" s="2"/>
      <c r="F26" s="15"/>
      <c r="G26" s="15"/>
      <c r="H26" s="15"/>
      <c r="I26" s="15"/>
      <c r="J26" s="15"/>
      <c r="K26" s="15"/>
      <c r="L26" s="15"/>
      <c r="M26" s="15"/>
      <c r="N26" s="15"/>
      <c r="O26" s="15"/>
      <c r="P26" s="15"/>
      <c r="Q26" s="15"/>
      <c r="R26" s="15"/>
      <c r="S26" s="15"/>
      <c r="T26" s="15"/>
      <c r="U26" s="15"/>
    </row>
    <row r="27" spans="1:21" x14ac:dyDescent="0.25">
      <c r="B27" s="2"/>
      <c r="C27" s="2"/>
      <c r="F27" s="15"/>
      <c r="G27" s="15"/>
      <c r="H27" s="15"/>
      <c r="I27" s="15"/>
      <c r="J27" s="15"/>
      <c r="K27" s="15"/>
      <c r="L27" s="15"/>
      <c r="M27" s="15"/>
      <c r="N27" s="15"/>
      <c r="O27" s="15"/>
      <c r="P27" s="15"/>
      <c r="Q27" s="15"/>
      <c r="R27" s="15"/>
      <c r="S27" s="15"/>
      <c r="T27" s="15"/>
      <c r="U27" s="15"/>
    </row>
    <row r="29" spans="1:21" x14ac:dyDescent="0.25">
      <c r="B29" s="196" t="s">
        <v>20</v>
      </c>
      <c r="C29" s="196"/>
    </row>
    <row r="30" spans="1:21" ht="30" x14ac:dyDescent="0.25">
      <c r="B30" t="s">
        <v>148</v>
      </c>
      <c r="C30" t="s">
        <v>149</v>
      </c>
      <c r="D30" t="s">
        <v>152</v>
      </c>
      <c r="E30" t="s">
        <v>162</v>
      </c>
      <c r="F30" t="s">
        <v>163</v>
      </c>
      <c r="G30" t="s">
        <v>164</v>
      </c>
      <c r="H30" t="s">
        <v>55</v>
      </c>
      <c r="I30" s="16" t="s">
        <v>165</v>
      </c>
      <c r="J30" t="s">
        <v>166</v>
      </c>
      <c r="K30" s="16" t="s">
        <v>167</v>
      </c>
      <c r="L30" t="s">
        <v>168</v>
      </c>
      <c r="M30" t="s">
        <v>158</v>
      </c>
    </row>
    <row r="31" spans="1:21" x14ac:dyDescent="0.25">
      <c r="A31">
        <v>1</v>
      </c>
      <c r="B31" s="2">
        <v>44562</v>
      </c>
      <c r="C31" s="2">
        <v>44591</v>
      </c>
      <c r="D31" s="1">
        <v>3450</v>
      </c>
      <c r="E31" s="14">
        <f>D31</f>
        <v>3450</v>
      </c>
      <c r="F31">
        <v>140</v>
      </c>
      <c r="G31">
        <f>F31</f>
        <v>140</v>
      </c>
      <c r="H31" t="e">
        <f>Normuren1/13</f>
        <v>#NAME?</v>
      </c>
      <c r="I31" t="e">
        <f>H31</f>
        <v>#NAME?</v>
      </c>
      <c r="J31" s="13" t="e">
        <f>MIN(G31/I31,1)</f>
        <v>#NAME?</v>
      </c>
      <c r="K31" s="1" t="e">
        <f>Franchise1/(52*38)*MIN(G31,I31)</f>
        <v>#NAME?</v>
      </c>
      <c r="L31" s="14" t="e">
        <f>MIN((MaxLoon1/13),(E31/J31)-K31)</f>
        <v>#NAME?</v>
      </c>
      <c r="M31" s="14" t="e">
        <f>L31*PremiePct1</f>
        <v>#NAME?</v>
      </c>
    </row>
    <row r="32" spans="1:21" x14ac:dyDescent="0.25">
      <c r="A32">
        <v>2</v>
      </c>
      <c r="B32" s="2">
        <v>44592</v>
      </c>
      <c r="C32" s="2">
        <v>44619</v>
      </c>
      <c r="D32" s="1">
        <v>3450</v>
      </c>
      <c r="E32" s="14">
        <f>E31+D32</f>
        <v>6900</v>
      </c>
      <c r="F32">
        <v>140</v>
      </c>
      <c r="G32">
        <f>G31+F32</f>
        <v>280</v>
      </c>
      <c r="H32" t="e">
        <f>Normuren1/13</f>
        <v>#NAME?</v>
      </c>
      <c r="I32" t="e">
        <f>I31+H32</f>
        <v>#NAME?</v>
      </c>
      <c r="J32" s="13" t="e">
        <f>MIN(G32/I32,1)</f>
        <v>#NAME?</v>
      </c>
      <c r="K32" s="1" t="e">
        <f>Franchise1/(52*38)*MIN(G32,I32)</f>
        <v>#NAME?</v>
      </c>
      <c r="L32" s="14" t="e">
        <f>MIN((MaxLoon1/13),(E32/J32)-K32)</f>
        <v>#NAME?</v>
      </c>
      <c r="M32" s="14" t="e">
        <f>L32*PremiePct1</f>
        <v>#NAME?</v>
      </c>
    </row>
    <row r="33" spans="1:4" x14ac:dyDescent="0.25">
      <c r="A33">
        <v>3</v>
      </c>
      <c r="B33" s="2">
        <v>44620</v>
      </c>
      <c r="C33" s="2">
        <v>44647</v>
      </c>
      <c r="D33" s="1"/>
    </row>
    <row r="34" spans="1:4" x14ac:dyDescent="0.25">
      <c r="A34">
        <v>4</v>
      </c>
      <c r="B34" s="2">
        <v>44648</v>
      </c>
      <c r="C34" s="2">
        <v>44675</v>
      </c>
      <c r="D34" s="1"/>
    </row>
    <row r="35" spans="1:4" x14ac:dyDescent="0.25">
      <c r="A35">
        <v>5</v>
      </c>
      <c r="B35" s="2">
        <v>44676</v>
      </c>
      <c r="C35" s="2">
        <v>44703</v>
      </c>
      <c r="D35" s="1"/>
    </row>
    <row r="36" spans="1:4" x14ac:dyDescent="0.25">
      <c r="A36">
        <v>6</v>
      </c>
      <c r="B36" s="2">
        <v>44704</v>
      </c>
      <c r="C36" s="2">
        <v>44731</v>
      </c>
      <c r="D36" s="1"/>
    </row>
    <row r="37" spans="1:4" x14ac:dyDescent="0.25">
      <c r="A37">
        <v>7</v>
      </c>
      <c r="B37" s="2">
        <v>44732</v>
      </c>
      <c r="C37" s="2">
        <v>44759</v>
      </c>
      <c r="D37" s="1"/>
    </row>
    <row r="38" spans="1:4" x14ac:dyDescent="0.25">
      <c r="A38">
        <v>8</v>
      </c>
      <c r="B38" s="2">
        <v>44760</v>
      </c>
      <c r="C38" s="2">
        <v>44787</v>
      </c>
      <c r="D38" s="1"/>
    </row>
    <row r="39" spans="1:4" x14ac:dyDescent="0.25">
      <c r="A39">
        <v>9</v>
      </c>
      <c r="B39" s="2">
        <v>44788</v>
      </c>
      <c r="C39" s="2">
        <v>44815</v>
      </c>
      <c r="D39" s="1"/>
    </row>
    <row r="40" spans="1:4" x14ac:dyDescent="0.25">
      <c r="A40">
        <v>10</v>
      </c>
      <c r="B40" s="2">
        <v>44816</v>
      </c>
      <c r="C40" s="2">
        <v>44843</v>
      </c>
      <c r="D40" s="1"/>
    </row>
    <row r="41" spans="1:4" x14ac:dyDescent="0.25">
      <c r="A41">
        <v>11</v>
      </c>
      <c r="B41" s="2">
        <v>44844</v>
      </c>
      <c r="C41" s="2">
        <v>44871</v>
      </c>
      <c r="D41" s="1"/>
    </row>
    <row r="42" spans="1:4" x14ac:dyDescent="0.25">
      <c r="A42">
        <v>12</v>
      </c>
      <c r="B42" s="2">
        <v>44872</v>
      </c>
      <c r="C42" s="2">
        <v>44899</v>
      </c>
      <c r="D42" s="1"/>
    </row>
    <row r="43" spans="1:4" x14ac:dyDescent="0.25">
      <c r="A43">
        <v>13</v>
      </c>
      <c r="B43" s="2">
        <v>44900</v>
      </c>
      <c r="C43" s="2">
        <v>44926</v>
      </c>
      <c r="D43" s="1"/>
    </row>
  </sheetData>
  <mergeCells count="2">
    <mergeCell ref="B9:C9"/>
    <mergeCell ref="B29:C2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9"/>
  <dimension ref="A2:N23"/>
  <sheetViews>
    <sheetView workbookViewId="0">
      <selection activeCell="J12" sqref="J12"/>
    </sheetView>
  </sheetViews>
  <sheetFormatPr defaultRowHeight="15" x14ac:dyDescent="0.25"/>
  <cols>
    <col min="1" max="2" width="12.42578125" bestFit="1" customWidth="1"/>
    <col min="3" max="3" width="9.28515625" customWidth="1"/>
    <col min="4" max="4" width="9.5703125" bestFit="1" customWidth="1"/>
    <col min="5" max="5" width="10.5703125" bestFit="1" customWidth="1"/>
    <col min="6" max="6" width="9.42578125" bestFit="1" customWidth="1"/>
    <col min="7" max="9" width="11.42578125" bestFit="1" customWidth="1"/>
    <col min="10" max="10" width="14.28515625" customWidth="1"/>
    <col min="11" max="12" width="11.42578125" bestFit="1" customWidth="1"/>
    <col min="13" max="13" width="11.5703125" customWidth="1"/>
    <col min="14" max="14" width="12.28515625" customWidth="1"/>
  </cols>
  <sheetData>
    <row r="2" spans="1:14" x14ac:dyDescent="0.25">
      <c r="A2" s="3" t="s">
        <v>141</v>
      </c>
      <c r="B2" s="4">
        <v>10309</v>
      </c>
    </row>
    <row r="3" spans="1:14" x14ac:dyDescent="0.25">
      <c r="A3" s="3" t="s">
        <v>142</v>
      </c>
      <c r="B3" s="3">
        <v>1976</v>
      </c>
    </row>
    <row r="4" spans="1:14" x14ac:dyDescent="0.25">
      <c r="A4" s="3" t="s">
        <v>143</v>
      </c>
      <c r="B4" s="4">
        <v>32369</v>
      </c>
    </row>
    <row r="5" spans="1:14" x14ac:dyDescent="0.25">
      <c r="A5" s="3" t="s">
        <v>144</v>
      </c>
      <c r="B5" s="3" t="e">
        <f>franchise/Normuren</f>
        <v>#NAME?</v>
      </c>
    </row>
    <row r="6" spans="1:14" x14ac:dyDescent="0.25">
      <c r="A6" s="3" t="s">
        <v>145</v>
      </c>
      <c r="B6" s="3" t="e">
        <f>MaxLoon/Normuren</f>
        <v>#NAME?</v>
      </c>
    </row>
    <row r="7" spans="1:14" x14ac:dyDescent="0.25">
      <c r="A7" s="3" t="s">
        <v>146</v>
      </c>
      <c r="B7" s="5">
        <v>7.1499999999999994E-2</v>
      </c>
    </row>
    <row r="8" spans="1:14" x14ac:dyDescent="0.25">
      <c r="A8" s="3" t="s">
        <v>147</v>
      </c>
      <c r="B8" s="5">
        <v>0.14299999999999999</v>
      </c>
    </row>
    <row r="9" spans="1:14" x14ac:dyDescent="0.25">
      <c r="B9" s="6"/>
    </row>
    <row r="10" spans="1:14" x14ac:dyDescent="0.25">
      <c r="A10" s="195" t="s">
        <v>20</v>
      </c>
      <c r="B10" s="195"/>
    </row>
    <row r="11" spans="1:14" x14ac:dyDescent="0.25">
      <c r="A11" s="3" t="s">
        <v>148</v>
      </c>
      <c r="B11" s="3" t="s">
        <v>149</v>
      </c>
      <c r="C11" s="3" t="s">
        <v>150</v>
      </c>
      <c r="D11" s="3" t="s">
        <v>151</v>
      </c>
      <c r="E11" s="3" t="s">
        <v>152</v>
      </c>
      <c r="F11" s="3" t="s">
        <v>153</v>
      </c>
      <c r="G11" s="3" t="s">
        <v>154</v>
      </c>
      <c r="H11" s="3" t="s">
        <v>159</v>
      </c>
      <c r="I11" s="3" t="s">
        <v>155</v>
      </c>
      <c r="J11" s="3" t="s">
        <v>160</v>
      </c>
      <c r="K11" s="3" t="s">
        <v>141</v>
      </c>
      <c r="L11" s="3" t="s">
        <v>156</v>
      </c>
      <c r="M11" s="3" t="s">
        <v>161</v>
      </c>
      <c r="N11" s="3" t="s">
        <v>158</v>
      </c>
    </row>
    <row r="12" spans="1:14" x14ac:dyDescent="0.25">
      <c r="A12" s="7">
        <v>44562</v>
      </c>
      <c r="B12" s="7">
        <v>44592</v>
      </c>
      <c r="C12" s="3">
        <v>158</v>
      </c>
      <c r="D12" s="3">
        <f>C12</f>
        <v>158</v>
      </c>
      <c r="E12" s="4">
        <v>2509.04</v>
      </c>
      <c r="F12" s="4">
        <f t="shared" ref="F12:F23" si="0">E12/C12</f>
        <v>15.879999999999999</v>
      </c>
      <c r="G12" s="4">
        <f>E12</f>
        <v>2509.04</v>
      </c>
      <c r="H12" s="4" t="e">
        <f t="shared" ref="H12:H23" si="1">ROUND((G12-UurFranchise*D12*WN_bijdrage)/(1-WN_bijdrage),2)</f>
        <v>#NAME?</v>
      </c>
      <c r="I12" s="4" t="e">
        <f t="shared" ref="I12:I23" si="2">ROUND(H12-MAX(0,H12-(MaxUurloon*MIN(D12,Normuren)))*WN_bijdrage-MIN(0,H12-(UurFranchise*MIN(D12,Normuren)))*WN_bijdrage,2)</f>
        <v>#NAME?</v>
      </c>
      <c r="J12" s="4" t="e">
        <f t="shared" ref="J12:J23" si="3">ROUND(MIN(MaxUurloon*MIN(D12,Normuren),I12),2)</f>
        <v>#NAME?</v>
      </c>
      <c r="K12" s="4" t="e">
        <f t="shared" ref="K12:K23" si="4">ROUND(MIN(D12,Normuren)*UurFranchise,2)</f>
        <v>#NAME?</v>
      </c>
      <c r="L12" s="4" t="e">
        <f>J12-K12</f>
        <v>#NAME?</v>
      </c>
      <c r="M12" s="4" t="e">
        <f t="shared" ref="M12:M23" si="5">ROUND(L12*PremiePct,2)</f>
        <v>#NAME?</v>
      </c>
      <c r="N12" s="4" t="e">
        <f>M12</f>
        <v>#NAME?</v>
      </c>
    </row>
    <row r="13" spans="1:14" x14ac:dyDescent="0.25">
      <c r="A13" s="7">
        <v>44593</v>
      </c>
      <c r="B13" s="7">
        <v>44620</v>
      </c>
      <c r="C13" s="3">
        <v>134</v>
      </c>
      <c r="D13" s="3">
        <f>IF(C13="","",C13+D12)</f>
        <v>292</v>
      </c>
      <c r="E13" s="4">
        <v>2127.92</v>
      </c>
      <c r="F13" s="4">
        <f t="shared" si="0"/>
        <v>15.88</v>
      </c>
      <c r="G13" s="4">
        <f>E13+G12</f>
        <v>4636.96</v>
      </c>
      <c r="H13" s="4" t="e">
        <f t="shared" si="1"/>
        <v>#NAME?</v>
      </c>
      <c r="I13" s="4" t="e">
        <f t="shared" si="2"/>
        <v>#NAME?</v>
      </c>
      <c r="J13" s="4" t="e">
        <f t="shared" si="3"/>
        <v>#NAME?</v>
      </c>
      <c r="K13" s="4" t="e">
        <f t="shared" si="4"/>
        <v>#NAME?</v>
      </c>
      <c r="L13" s="4" t="e">
        <f>J13-K13</f>
        <v>#NAME?</v>
      </c>
      <c r="M13" s="4" t="e">
        <f t="shared" si="5"/>
        <v>#NAME?</v>
      </c>
      <c r="N13" s="4" t="e">
        <f>M13-M12</f>
        <v>#NAME?</v>
      </c>
    </row>
    <row r="14" spans="1:14" x14ac:dyDescent="0.25">
      <c r="A14" s="7">
        <v>44621</v>
      </c>
      <c r="B14" s="7">
        <v>44651</v>
      </c>
      <c r="C14" s="3">
        <v>159</v>
      </c>
      <c r="D14" s="3">
        <f t="shared" ref="D14:D23" si="6">IF(C14="","",C14+D13)</f>
        <v>451</v>
      </c>
      <c r="E14" s="4">
        <v>2524.92</v>
      </c>
      <c r="F14" s="4">
        <f t="shared" si="0"/>
        <v>15.88</v>
      </c>
      <c r="G14" s="4">
        <f>E14+G13</f>
        <v>7161.88</v>
      </c>
      <c r="H14" s="4" t="e">
        <f t="shared" si="1"/>
        <v>#NAME?</v>
      </c>
      <c r="I14" s="4" t="e">
        <f t="shared" si="2"/>
        <v>#NAME?</v>
      </c>
      <c r="J14" s="4" t="e">
        <f t="shared" si="3"/>
        <v>#NAME?</v>
      </c>
      <c r="K14" s="4" t="e">
        <f t="shared" si="4"/>
        <v>#NAME?</v>
      </c>
      <c r="L14" s="4" t="e">
        <f>J14-K14</f>
        <v>#NAME?</v>
      </c>
      <c r="M14" s="4" t="e">
        <f t="shared" si="5"/>
        <v>#NAME?</v>
      </c>
      <c r="N14" s="4" t="e">
        <f>M14-M13</f>
        <v>#NAME?</v>
      </c>
    </row>
    <row r="15" spans="1:14" x14ac:dyDescent="0.25">
      <c r="A15" s="7">
        <v>44652</v>
      </c>
      <c r="B15" s="7">
        <v>44681</v>
      </c>
      <c r="C15" s="3">
        <v>142</v>
      </c>
      <c r="D15" s="3">
        <f t="shared" si="6"/>
        <v>593</v>
      </c>
      <c r="E15" s="4">
        <v>2254.96</v>
      </c>
      <c r="F15" s="4">
        <f t="shared" si="0"/>
        <v>15.88</v>
      </c>
      <c r="G15" s="4">
        <f>E15+G14</f>
        <v>9416.84</v>
      </c>
      <c r="H15" s="4" t="e">
        <f t="shared" si="1"/>
        <v>#NAME?</v>
      </c>
      <c r="I15" s="4" t="e">
        <f t="shared" si="2"/>
        <v>#NAME?</v>
      </c>
      <c r="J15" s="4" t="e">
        <f t="shared" si="3"/>
        <v>#NAME?</v>
      </c>
      <c r="K15" s="4" t="e">
        <f t="shared" si="4"/>
        <v>#NAME?</v>
      </c>
      <c r="L15" s="4" t="e">
        <f>J15-K15</f>
        <v>#NAME?</v>
      </c>
      <c r="M15" s="4" t="e">
        <f t="shared" si="5"/>
        <v>#NAME?</v>
      </c>
      <c r="N15" s="4" t="e">
        <f>M15-M14</f>
        <v>#NAME?</v>
      </c>
    </row>
    <row r="16" spans="1:14" x14ac:dyDescent="0.25">
      <c r="A16" s="7">
        <v>44682</v>
      </c>
      <c r="B16" s="7">
        <v>44712</v>
      </c>
      <c r="C16" s="3">
        <v>156</v>
      </c>
      <c r="D16" s="3">
        <f t="shared" si="6"/>
        <v>749</v>
      </c>
      <c r="E16" s="4">
        <v>2477.2800000000002</v>
      </c>
      <c r="F16" s="4">
        <f t="shared" si="0"/>
        <v>15.88</v>
      </c>
      <c r="G16" s="4">
        <f t="shared" ref="G16:G23" si="7">E16+G15</f>
        <v>11894.12</v>
      </c>
      <c r="H16" s="4" t="e">
        <f t="shared" si="1"/>
        <v>#NAME?</v>
      </c>
      <c r="I16" s="4" t="e">
        <f t="shared" si="2"/>
        <v>#NAME?</v>
      </c>
      <c r="J16" s="4" t="e">
        <f t="shared" si="3"/>
        <v>#NAME?</v>
      </c>
      <c r="K16" s="4" t="e">
        <f t="shared" si="4"/>
        <v>#NAME?</v>
      </c>
      <c r="L16" s="4" t="e">
        <f t="shared" ref="L16:L23" si="8">J16-K16</f>
        <v>#NAME?</v>
      </c>
      <c r="M16" s="4" t="e">
        <f t="shared" si="5"/>
        <v>#NAME?</v>
      </c>
      <c r="N16" s="4" t="e">
        <f t="shared" ref="N16:N23" si="9">M16-M15</f>
        <v>#NAME?</v>
      </c>
    </row>
    <row r="17" spans="1:14" x14ac:dyDescent="0.25">
      <c r="A17" s="7">
        <v>44713</v>
      </c>
      <c r="B17" s="7">
        <v>44742</v>
      </c>
      <c r="C17" s="3">
        <v>127</v>
      </c>
      <c r="D17" s="3">
        <f t="shared" si="6"/>
        <v>876</v>
      </c>
      <c r="E17" s="4">
        <v>2016.76</v>
      </c>
      <c r="F17" s="4">
        <f t="shared" si="0"/>
        <v>15.88</v>
      </c>
      <c r="G17" s="4">
        <f t="shared" si="7"/>
        <v>13910.880000000001</v>
      </c>
      <c r="H17" s="4" t="e">
        <f t="shared" si="1"/>
        <v>#NAME?</v>
      </c>
      <c r="I17" s="4" t="e">
        <f t="shared" si="2"/>
        <v>#NAME?</v>
      </c>
      <c r="J17" s="4" t="e">
        <f t="shared" si="3"/>
        <v>#NAME?</v>
      </c>
      <c r="K17" s="4" t="e">
        <f t="shared" si="4"/>
        <v>#NAME?</v>
      </c>
      <c r="L17" s="4" t="e">
        <f t="shared" si="8"/>
        <v>#NAME?</v>
      </c>
      <c r="M17" s="4" t="e">
        <f t="shared" si="5"/>
        <v>#NAME?</v>
      </c>
      <c r="N17" s="4" t="e">
        <f t="shared" si="9"/>
        <v>#NAME?</v>
      </c>
    </row>
    <row r="18" spans="1:14" x14ac:dyDescent="0.25">
      <c r="A18" s="7">
        <v>44743</v>
      </c>
      <c r="B18" s="7">
        <v>44773</v>
      </c>
      <c r="C18" s="3">
        <v>164</v>
      </c>
      <c r="D18" s="3">
        <f t="shared" si="6"/>
        <v>1040</v>
      </c>
      <c r="E18" s="4">
        <v>2604.3200000000002</v>
      </c>
      <c r="F18" s="4">
        <f t="shared" si="0"/>
        <v>15.88</v>
      </c>
      <c r="G18" s="4">
        <f t="shared" si="7"/>
        <v>16515.2</v>
      </c>
      <c r="H18" s="4" t="e">
        <f t="shared" si="1"/>
        <v>#NAME?</v>
      </c>
      <c r="I18" s="4" t="e">
        <f t="shared" si="2"/>
        <v>#NAME?</v>
      </c>
      <c r="J18" s="4" t="e">
        <f t="shared" si="3"/>
        <v>#NAME?</v>
      </c>
      <c r="K18" s="4" t="e">
        <f t="shared" si="4"/>
        <v>#NAME?</v>
      </c>
      <c r="L18" s="4" t="e">
        <f t="shared" si="8"/>
        <v>#NAME?</v>
      </c>
      <c r="M18" s="4" t="e">
        <f t="shared" si="5"/>
        <v>#NAME?</v>
      </c>
      <c r="N18" s="4" t="e">
        <f t="shared" si="9"/>
        <v>#NAME?</v>
      </c>
    </row>
    <row r="19" spans="1:14" x14ac:dyDescent="0.25">
      <c r="A19" s="7">
        <v>44774</v>
      </c>
      <c r="B19" s="7">
        <v>44804</v>
      </c>
      <c r="C19" s="3">
        <v>135</v>
      </c>
      <c r="D19" s="3">
        <f t="shared" si="6"/>
        <v>1175</v>
      </c>
      <c r="E19" s="4">
        <v>2143.8000000000002</v>
      </c>
      <c r="F19" s="4">
        <f t="shared" si="0"/>
        <v>15.88</v>
      </c>
      <c r="G19" s="4">
        <f t="shared" si="7"/>
        <v>18659</v>
      </c>
      <c r="H19" s="4" t="e">
        <f t="shared" si="1"/>
        <v>#NAME?</v>
      </c>
      <c r="I19" s="4" t="e">
        <f t="shared" si="2"/>
        <v>#NAME?</v>
      </c>
      <c r="J19" s="4" t="e">
        <f t="shared" si="3"/>
        <v>#NAME?</v>
      </c>
      <c r="K19" s="4" t="e">
        <f t="shared" si="4"/>
        <v>#NAME?</v>
      </c>
      <c r="L19" s="4" t="e">
        <f t="shared" si="8"/>
        <v>#NAME?</v>
      </c>
      <c r="M19" s="4" t="e">
        <f t="shared" si="5"/>
        <v>#NAME?</v>
      </c>
      <c r="N19" s="4" t="e">
        <f t="shared" si="9"/>
        <v>#NAME?</v>
      </c>
    </row>
    <row r="20" spans="1:14" x14ac:dyDescent="0.25">
      <c r="A20" s="7">
        <v>44805</v>
      </c>
      <c r="B20" s="7">
        <v>44834</v>
      </c>
      <c r="C20" s="3">
        <v>136</v>
      </c>
      <c r="D20" s="3">
        <f t="shared" si="6"/>
        <v>1311</v>
      </c>
      <c r="E20" s="4">
        <v>2159.6799999999998</v>
      </c>
      <c r="F20" s="4">
        <f t="shared" si="0"/>
        <v>15.879999999999999</v>
      </c>
      <c r="G20" s="4">
        <f t="shared" si="7"/>
        <v>20818.68</v>
      </c>
      <c r="H20" s="4" t="e">
        <f t="shared" si="1"/>
        <v>#NAME?</v>
      </c>
      <c r="I20" s="4" t="e">
        <f t="shared" si="2"/>
        <v>#NAME?</v>
      </c>
      <c r="J20" s="4" t="e">
        <f t="shared" si="3"/>
        <v>#NAME?</v>
      </c>
      <c r="K20" s="4" t="e">
        <f t="shared" si="4"/>
        <v>#NAME?</v>
      </c>
      <c r="L20" s="4" t="e">
        <f t="shared" si="8"/>
        <v>#NAME?</v>
      </c>
      <c r="M20" s="4" t="e">
        <f t="shared" si="5"/>
        <v>#NAME?</v>
      </c>
      <c r="N20" s="4" t="e">
        <f t="shared" si="9"/>
        <v>#NAME?</v>
      </c>
    </row>
    <row r="21" spans="1:14" x14ac:dyDescent="0.25">
      <c r="A21" s="7">
        <v>44835</v>
      </c>
      <c r="B21" s="7">
        <v>44865</v>
      </c>
      <c r="C21" s="3">
        <v>244</v>
      </c>
      <c r="D21" s="3">
        <f t="shared" si="6"/>
        <v>1555</v>
      </c>
      <c r="E21" s="4">
        <v>3874.72</v>
      </c>
      <c r="F21" s="4">
        <f t="shared" si="0"/>
        <v>15.879999999999999</v>
      </c>
      <c r="G21" s="4">
        <f t="shared" si="7"/>
        <v>24693.4</v>
      </c>
      <c r="H21" s="4" t="e">
        <f t="shared" si="1"/>
        <v>#NAME?</v>
      </c>
      <c r="I21" s="4" t="e">
        <f t="shared" si="2"/>
        <v>#NAME?</v>
      </c>
      <c r="J21" s="4" t="e">
        <f t="shared" si="3"/>
        <v>#NAME?</v>
      </c>
      <c r="K21" s="4" t="e">
        <f t="shared" si="4"/>
        <v>#NAME?</v>
      </c>
      <c r="L21" s="4" t="e">
        <f t="shared" si="8"/>
        <v>#NAME?</v>
      </c>
      <c r="M21" s="4" t="e">
        <f t="shared" si="5"/>
        <v>#NAME?</v>
      </c>
      <c r="N21" s="4" t="e">
        <f t="shared" si="9"/>
        <v>#NAME?</v>
      </c>
    </row>
    <row r="22" spans="1:14" x14ac:dyDescent="0.25">
      <c r="A22" s="7">
        <v>44866</v>
      </c>
      <c r="B22" s="7">
        <v>44895</v>
      </c>
      <c r="C22" s="3">
        <v>229</v>
      </c>
      <c r="D22" s="3">
        <f t="shared" si="6"/>
        <v>1784</v>
      </c>
      <c r="E22" s="4">
        <v>3636.52</v>
      </c>
      <c r="F22" s="4">
        <f t="shared" si="0"/>
        <v>15.88</v>
      </c>
      <c r="G22" s="4">
        <f t="shared" si="7"/>
        <v>28329.920000000002</v>
      </c>
      <c r="H22" s="4" t="e">
        <f t="shared" si="1"/>
        <v>#NAME?</v>
      </c>
      <c r="I22" s="4" t="e">
        <f t="shared" si="2"/>
        <v>#NAME?</v>
      </c>
      <c r="J22" s="4" t="e">
        <f t="shared" si="3"/>
        <v>#NAME?</v>
      </c>
      <c r="K22" s="4" t="e">
        <f t="shared" si="4"/>
        <v>#NAME?</v>
      </c>
      <c r="L22" s="4" t="e">
        <f t="shared" si="8"/>
        <v>#NAME?</v>
      </c>
      <c r="M22" s="4" t="e">
        <f t="shared" si="5"/>
        <v>#NAME?</v>
      </c>
      <c r="N22" s="4" t="e">
        <f t="shared" si="9"/>
        <v>#NAME?</v>
      </c>
    </row>
    <row r="23" spans="1:14" x14ac:dyDescent="0.25">
      <c r="A23" s="7">
        <v>44896</v>
      </c>
      <c r="B23" s="7">
        <v>44926</v>
      </c>
      <c r="C23" s="3">
        <v>239</v>
      </c>
      <c r="D23" s="3">
        <f t="shared" si="6"/>
        <v>2023</v>
      </c>
      <c r="E23" s="4">
        <v>3795.32</v>
      </c>
      <c r="F23" s="4">
        <f t="shared" si="0"/>
        <v>15.88</v>
      </c>
      <c r="G23" s="4">
        <f t="shared" si="7"/>
        <v>32125.24</v>
      </c>
      <c r="H23" s="4" t="e">
        <f t="shared" si="1"/>
        <v>#NAME?</v>
      </c>
      <c r="I23" s="4" t="e">
        <f t="shared" si="2"/>
        <v>#NAME?</v>
      </c>
      <c r="J23" s="4" t="e">
        <f t="shared" si="3"/>
        <v>#NAME?</v>
      </c>
      <c r="K23" s="4" t="e">
        <f t="shared" si="4"/>
        <v>#NAME?</v>
      </c>
      <c r="L23" s="4" t="e">
        <f t="shared" si="8"/>
        <v>#NAME?</v>
      </c>
      <c r="M23" s="4" t="e">
        <f t="shared" si="5"/>
        <v>#NAME?</v>
      </c>
      <c r="N23" s="4" t="e">
        <f t="shared" si="9"/>
        <v>#NAME?</v>
      </c>
    </row>
  </sheetData>
  <mergeCells count="1">
    <mergeCell ref="A10:B1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10"/>
  <dimension ref="A1:L60"/>
  <sheetViews>
    <sheetView topLeftCell="A28" workbookViewId="0">
      <selection activeCell="C60" sqref="C60"/>
    </sheetView>
  </sheetViews>
  <sheetFormatPr defaultRowHeight="15" x14ac:dyDescent="0.25"/>
  <cols>
    <col min="1" max="1" width="12.5703125" customWidth="1"/>
    <col min="2" max="2" width="15.5703125" customWidth="1"/>
    <col min="3" max="3" width="10.5703125" bestFit="1" customWidth="1"/>
    <col min="4" max="4" width="10.7109375" bestFit="1" customWidth="1"/>
    <col min="5" max="5" width="11.42578125" bestFit="1" customWidth="1"/>
    <col min="7" max="7" width="12.42578125" bestFit="1" customWidth="1"/>
    <col min="8" max="10" width="11.42578125" bestFit="1" customWidth="1"/>
    <col min="11" max="11" width="11.7109375" bestFit="1" customWidth="1"/>
    <col min="12" max="12" width="10.42578125" bestFit="1" customWidth="1"/>
  </cols>
  <sheetData>
    <row r="1" spans="1:12" x14ac:dyDescent="0.25">
      <c r="A1" s="3" t="s">
        <v>141</v>
      </c>
      <c r="B1" s="4">
        <v>14856</v>
      </c>
    </row>
    <row r="2" spans="1:12" x14ac:dyDescent="0.25">
      <c r="A2" s="3" t="s">
        <v>169</v>
      </c>
      <c r="B2" s="10">
        <v>2022</v>
      </c>
    </row>
    <row r="3" spans="1:12" x14ac:dyDescent="0.25">
      <c r="A3" s="3" t="s">
        <v>170</v>
      </c>
      <c r="B3" s="9">
        <f>IF(OR(MOD(B2,400)=0,AND(MOD(B2,4)=0,MOD(B2,100)&lt;&gt;0)),366,365)</f>
        <v>365</v>
      </c>
    </row>
    <row r="4" spans="1:12" x14ac:dyDescent="0.25">
      <c r="A4" s="3" t="s">
        <v>143</v>
      </c>
      <c r="B4" s="4">
        <v>114688</v>
      </c>
    </row>
    <row r="5" spans="1:12" x14ac:dyDescent="0.25">
      <c r="A5" s="3" t="s">
        <v>171</v>
      </c>
      <c r="B5" s="4">
        <f>B1/B3</f>
        <v>40.701369863013696</v>
      </c>
    </row>
    <row r="6" spans="1:12" x14ac:dyDescent="0.25">
      <c r="A6" s="3" t="s">
        <v>172</v>
      </c>
      <c r="B6" s="4">
        <f>B4/B3</f>
        <v>314.213698630137</v>
      </c>
    </row>
    <row r="7" spans="1:12" x14ac:dyDescent="0.25">
      <c r="A7" s="3" t="s">
        <v>146</v>
      </c>
      <c r="B7" s="8">
        <v>0</v>
      </c>
    </row>
    <row r="8" spans="1:12" x14ac:dyDescent="0.25">
      <c r="A8" s="3" t="s">
        <v>147</v>
      </c>
      <c r="B8" s="8">
        <v>0.25</v>
      </c>
    </row>
    <row r="9" spans="1:12" x14ac:dyDescent="0.25">
      <c r="B9" s="11"/>
    </row>
    <row r="10" spans="1:12" x14ac:dyDescent="0.25">
      <c r="A10" s="12" t="s">
        <v>173</v>
      </c>
    </row>
    <row r="11" spans="1:12" x14ac:dyDescent="0.25">
      <c r="A11" s="195" t="s">
        <v>20</v>
      </c>
      <c r="B11" s="195"/>
    </row>
    <row r="12" spans="1:12" x14ac:dyDescent="0.25">
      <c r="A12" s="3" t="s">
        <v>148</v>
      </c>
      <c r="B12" s="3" t="s">
        <v>149</v>
      </c>
      <c r="C12" s="3" t="s">
        <v>174</v>
      </c>
      <c r="D12" s="3" t="s">
        <v>175</v>
      </c>
      <c r="E12" s="3" t="s">
        <v>152</v>
      </c>
      <c r="F12" s="3" t="s">
        <v>176</v>
      </c>
      <c r="G12" s="3" t="s">
        <v>154</v>
      </c>
      <c r="H12" s="3" t="s">
        <v>155</v>
      </c>
      <c r="I12" s="3" t="s">
        <v>141</v>
      </c>
      <c r="J12" s="3" t="s">
        <v>156</v>
      </c>
      <c r="K12" s="3" t="s">
        <v>157</v>
      </c>
      <c r="L12" s="3" t="s">
        <v>158</v>
      </c>
    </row>
    <row r="13" spans="1:12" x14ac:dyDescent="0.25">
      <c r="A13" s="7">
        <v>44562</v>
      </c>
      <c r="B13" s="7">
        <v>44592</v>
      </c>
      <c r="C13" s="3">
        <f>DATEDIF(A13,B13,"D")+1</f>
        <v>31</v>
      </c>
      <c r="D13" s="3">
        <f>C13</f>
        <v>31</v>
      </c>
      <c r="E13" s="4">
        <f>ROUND(C13*F13,2)</f>
        <v>4185</v>
      </c>
      <c r="F13" s="4">
        <v>135</v>
      </c>
      <c r="G13" s="4">
        <f>E13</f>
        <v>4185</v>
      </c>
      <c r="H13" s="4" t="e">
        <f t="shared" ref="H13:H24" si="0">ROUND(MIN(G13,MIN(D13,MaxDagen)*Maxdagloon),2)</f>
        <v>#NAME?</v>
      </c>
      <c r="I13" s="4" t="e">
        <f t="shared" ref="I13:I24" si="1">ROUND(MIN(D13,MaxDagen)*Dagfranchise,2)</f>
        <v>#NAME?</v>
      </c>
      <c r="J13" s="4" t="e">
        <f>H13-I13</f>
        <v>#NAME?</v>
      </c>
      <c r="K13" s="4" t="e">
        <f t="shared" ref="K13:K24" si="2">ROUND(J13*Premiepct2,2)</f>
        <v>#NAME?</v>
      </c>
      <c r="L13" s="4" t="e">
        <f>K13</f>
        <v>#NAME?</v>
      </c>
    </row>
    <row r="14" spans="1:12" x14ac:dyDescent="0.25">
      <c r="A14" s="7">
        <v>44593</v>
      </c>
      <c r="B14" s="7">
        <v>44620</v>
      </c>
      <c r="C14" s="3">
        <f t="shared" ref="C14:C24" si="3">DATEDIF(A14,B14,"D")+1</f>
        <v>28</v>
      </c>
      <c r="D14" s="3">
        <f>IF(C14="","",C14+D13)</f>
        <v>59</v>
      </c>
      <c r="E14" s="4">
        <f t="shared" ref="E14:E24" si="4">ROUND(C14*F14,2)</f>
        <v>3780</v>
      </c>
      <c r="F14" s="4">
        <v>135</v>
      </c>
      <c r="G14" s="4">
        <f>E14+G13</f>
        <v>7965</v>
      </c>
      <c r="H14" s="4" t="e">
        <f t="shared" si="0"/>
        <v>#NAME?</v>
      </c>
      <c r="I14" s="4" t="e">
        <f t="shared" si="1"/>
        <v>#NAME?</v>
      </c>
      <c r="J14" s="4" t="e">
        <f t="shared" ref="J14:J24" si="5">H14-I14</f>
        <v>#NAME?</v>
      </c>
      <c r="K14" s="4" t="e">
        <f t="shared" si="2"/>
        <v>#NAME?</v>
      </c>
      <c r="L14" s="4" t="e">
        <f>K14-K13</f>
        <v>#NAME?</v>
      </c>
    </row>
    <row r="15" spans="1:12" x14ac:dyDescent="0.25">
      <c r="A15" s="7">
        <v>44621</v>
      </c>
      <c r="B15" s="7">
        <v>44651</v>
      </c>
      <c r="C15" s="3">
        <f t="shared" si="3"/>
        <v>31</v>
      </c>
      <c r="D15" s="3">
        <f t="shared" ref="D15:D24" si="6">IF(C15="","",C15+D14)</f>
        <v>90</v>
      </c>
      <c r="E15" s="4">
        <f t="shared" si="4"/>
        <v>4185</v>
      </c>
      <c r="F15" s="4">
        <v>135</v>
      </c>
      <c r="G15" s="4">
        <f>E15+G14</f>
        <v>12150</v>
      </c>
      <c r="H15" s="4" t="e">
        <f t="shared" si="0"/>
        <v>#NAME?</v>
      </c>
      <c r="I15" s="4" t="e">
        <f t="shared" si="1"/>
        <v>#NAME?</v>
      </c>
      <c r="J15" s="4" t="e">
        <f t="shared" si="5"/>
        <v>#NAME?</v>
      </c>
      <c r="K15" s="4" t="e">
        <f t="shared" si="2"/>
        <v>#NAME?</v>
      </c>
      <c r="L15" s="4" t="e">
        <f t="shared" ref="L15:L24" si="7">K15-K14</f>
        <v>#NAME?</v>
      </c>
    </row>
    <row r="16" spans="1:12" x14ac:dyDescent="0.25">
      <c r="A16" s="7">
        <v>44652</v>
      </c>
      <c r="B16" s="7">
        <v>44681</v>
      </c>
      <c r="C16" s="3">
        <f t="shared" si="3"/>
        <v>30</v>
      </c>
      <c r="D16" s="3">
        <f t="shared" si="6"/>
        <v>120</v>
      </c>
      <c r="E16" s="4">
        <f t="shared" si="4"/>
        <v>4050</v>
      </c>
      <c r="F16" s="4">
        <v>135</v>
      </c>
      <c r="G16" s="4">
        <f>E16+G15</f>
        <v>16200</v>
      </c>
      <c r="H16" s="4" t="e">
        <f t="shared" si="0"/>
        <v>#NAME?</v>
      </c>
      <c r="I16" s="4" t="e">
        <f t="shared" si="1"/>
        <v>#NAME?</v>
      </c>
      <c r="J16" s="4" t="e">
        <f t="shared" si="5"/>
        <v>#NAME?</v>
      </c>
      <c r="K16" s="4" t="e">
        <f t="shared" si="2"/>
        <v>#NAME?</v>
      </c>
      <c r="L16" s="4" t="e">
        <f t="shared" si="7"/>
        <v>#NAME?</v>
      </c>
    </row>
    <row r="17" spans="1:12" x14ac:dyDescent="0.25">
      <c r="A17" s="7">
        <v>44682</v>
      </c>
      <c r="B17" s="7">
        <v>44712</v>
      </c>
      <c r="C17" s="3">
        <f t="shared" si="3"/>
        <v>31</v>
      </c>
      <c r="D17" s="3">
        <f t="shared" si="6"/>
        <v>151</v>
      </c>
      <c r="E17" s="4">
        <f t="shared" si="4"/>
        <v>4185</v>
      </c>
      <c r="F17" s="4">
        <v>135</v>
      </c>
      <c r="G17" s="4">
        <f t="shared" ref="G17:G24" si="8">E17+G16</f>
        <v>20385</v>
      </c>
      <c r="H17" s="4" t="e">
        <f t="shared" si="0"/>
        <v>#NAME?</v>
      </c>
      <c r="I17" s="4" t="e">
        <f t="shared" si="1"/>
        <v>#NAME?</v>
      </c>
      <c r="J17" s="4" t="e">
        <f t="shared" si="5"/>
        <v>#NAME?</v>
      </c>
      <c r="K17" s="4" t="e">
        <f t="shared" si="2"/>
        <v>#NAME?</v>
      </c>
      <c r="L17" s="4" t="e">
        <f t="shared" si="7"/>
        <v>#NAME?</v>
      </c>
    </row>
    <row r="18" spans="1:12" x14ac:dyDescent="0.25">
      <c r="A18" s="7">
        <v>44713</v>
      </c>
      <c r="B18" s="7">
        <v>44742</v>
      </c>
      <c r="C18" s="3">
        <f t="shared" si="3"/>
        <v>30</v>
      </c>
      <c r="D18" s="3">
        <f t="shared" si="6"/>
        <v>181</v>
      </c>
      <c r="E18" s="4">
        <f t="shared" si="4"/>
        <v>4050</v>
      </c>
      <c r="F18" s="4">
        <v>135</v>
      </c>
      <c r="G18" s="4">
        <f t="shared" si="8"/>
        <v>24435</v>
      </c>
      <c r="H18" s="4" t="e">
        <f t="shared" si="0"/>
        <v>#NAME?</v>
      </c>
      <c r="I18" s="4" t="e">
        <f t="shared" si="1"/>
        <v>#NAME?</v>
      </c>
      <c r="J18" s="4" t="e">
        <f t="shared" si="5"/>
        <v>#NAME?</v>
      </c>
      <c r="K18" s="4" t="e">
        <f t="shared" si="2"/>
        <v>#NAME?</v>
      </c>
      <c r="L18" s="4" t="e">
        <f t="shared" si="7"/>
        <v>#NAME?</v>
      </c>
    </row>
    <row r="19" spans="1:12" x14ac:dyDescent="0.25">
      <c r="A19" s="7">
        <v>44743</v>
      </c>
      <c r="B19" s="7">
        <v>44773</v>
      </c>
      <c r="C19" s="3">
        <f t="shared" si="3"/>
        <v>31</v>
      </c>
      <c r="D19" s="3">
        <f t="shared" si="6"/>
        <v>212</v>
      </c>
      <c r="E19" s="4">
        <f t="shared" si="4"/>
        <v>4185</v>
      </c>
      <c r="F19" s="4">
        <v>135</v>
      </c>
      <c r="G19" s="4">
        <f t="shared" si="8"/>
        <v>28620</v>
      </c>
      <c r="H19" s="4" t="e">
        <f t="shared" si="0"/>
        <v>#NAME?</v>
      </c>
      <c r="I19" s="4" t="e">
        <f t="shared" si="1"/>
        <v>#NAME?</v>
      </c>
      <c r="J19" s="4" t="e">
        <f t="shared" si="5"/>
        <v>#NAME?</v>
      </c>
      <c r="K19" s="4" t="e">
        <f t="shared" si="2"/>
        <v>#NAME?</v>
      </c>
      <c r="L19" s="4" t="e">
        <f t="shared" si="7"/>
        <v>#NAME?</v>
      </c>
    </row>
    <row r="20" spans="1:12" x14ac:dyDescent="0.25">
      <c r="A20" s="7">
        <v>44774</v>
      </c>
      <c r="B20" s="7">
        <v>44804</v>
      </c>
      <c r="C20" s="3">
        <f t="shared" si="3"/>
        <v>31</v>
      </c>
      <c r="D20" s="3">
        <f t="shared" si="6"/>
        <v>243</v>
      </c>
      <c r="E20" s="4">
        <f t="shared" si="4"/>
        <v>4185</v>
      </c>
      <c r="F20" s="4">
        <v>135</v>
      </c>
      <c r="G20" s="4">
        <f t="shared" si="8"/>
        <v>32805</v>
      </c>
      <c r="H20" s="4" t="e">
        <f t="shared" si="0"/>
        <v>#NAME?</v>
      </c>
      <c r="I20" s="4" t="e">
        <f t="shared" si="1"/>
        <v>#NAME?</v>
      </c>
      <c r="J20" s="4" t="e">
        <f t="shared" si="5"/>
        <v>#NAME?</v>
      </c>
      <c r="K20" s="4" t="e">
        <f t="shared" si="2"/>
        <v>#NAME?</v>
      </c>
      <c r="L20" s="4" t="e">
        <f t="shared" si="7"/>
        <v>#NAME?</v>
      </c>
    </row>
    <row r="21" spans="1:12" x14ac:dyDescent="0.25">
      <c r="A21" s="7">
        <v>44805</v>
      </c>
      <c r="B21" s="7">
        <v>44834</v>
      </c>
      <c r="C21" s="3">
        <f t="shared" si="3"/>
        <v>30</v>
      </c>
      <c r="D21" s="3">
        <f t="shared" si="6"/>
        <v>273</v>
      </c>
      <c r="E21" s="4">
        <f t="shared" si="4"/>
        <v>4050</v>
      </c>
      <c r="F21" s="4">
        <v>135</v>
      </c>
      <c r="G21" s="4">
        <f t="shared" si="8"/>
        <v>36855</v>
      </c>
      <c r="H21" s="4" t="e">
        <f t="shared" si="0"/>
        <v>#NAME?</v>
      </c>
      <c r="I21" s="4" t="e">
        <f t="shared" si="1"/>
        <v>#NAME?</v>
      </c>
      <c r="J21" s="4" t="e">
        <f t="shared" si="5"/>
        <v>#NAME?</v>
      </c>
      <c r="K21" s="4" t="e">
        <f t="shared" si="2"/>
        <v>#NAME?</v>
      </c>
      <c r="L21" s="4" t="e">
        <f t="shared" si="7"/>
        <v>#NAME?</v>
      </c>
    </row>
    <row r="22" spans="1:12" x14ac:dyDescent="0.25">
      <c r="A22" s="7">
        <v>44835</v>
      </c>
      <c r="B22" s="7">
        <v>44865</v>
      </c>
      <c r="C22" s="3">
        <f t="shared" si="3"/>
        <v>31</v>
      </c>
      <c r="D22" s="3">
        <f t="shared" si="6"/>
        <v>304</v>
      </c>
      <c r="E22" s="4">
        <f t="shared" si="4"/>
        <v>4185</v>
      </c>
      <c r="F22" s="4">
        <v>135</v>
      </c>
      <c r="G22" s="4">
        <f t="shared" si="8"/>
        <v>41040</v>
      </c>
      <c r="H22" s="4" t="e">
        <f t="shared" si="0"/>
        <v>#NAME?</v>
      </c>
      <c r="I22" s="4" t="e">
        <f t="shared" si="1"/>
        <v>#NAME?</v>
      </c>
      <c r="J22" s="4" t="e">
        <f t="shared" si="5"/>
        <v>#NAME?</v>
      </c>
      <c r="K22" s="4" t="e">
        <f t="shared" si="2"/>
        <v>#NAME?</v>
      </c>
      <c r="L22" s="4" t="e">
        <f t="shared" si="7"/>
        <v>#NAME?</v>
      </c>
    </row>
    <row r="23" spans="1:12" x14ac:dyDescent="0.25">
      <c r="A23" s="7">
        <v>44866</v>
      </c>
      <c r="B23" s="7">
        <v>44895</v>
      </c>
      <c r="C23" s="3">
        <f t="shared" si="3"/>
        <v>30</v>
      </c>
      <c r="D23" s="3">
        <f t="shared" si="6"/>
        <v>334</v>
      </c>
      <c r="E23" s="4">
        <f t="shared" si="4"/>
        <v>4050</v>
      </c>
      <c r="F23" s="4">
        <v>135</v>
      </c>
      <c r="G23" s="4">
        <f t="shared" si="8"/>
        <v>45090</v>
      </c>
      <c r="H23" s="4" t="e">
        <f t="shared" si="0"/>
        <v>#NAME?</v>
      </c>
      <c r="I23" s="4" t="e">
        <f t="shared" si="1"/>
        <v>#NAME?</v>
      </c>
      <c r="J23" s="4" t="e">
        <f t="shared" si="5"/>
        <v>#NAME?</v>
      </c>
      <c r="K23" s="4" t="e">
        <f t="shared" si="2"/>
        <v>#NAME?</v>
      </c>
      <c r="L23" s="4" t="e">
        <f t="shared" si="7"/>
        <v>#NAME?</v>
      </c>
    </row>
    <row r="24" spans="1:12" x14ac:dyDescent="0.25">
      <c r="A24" s="7">
        <v>44896</v>
      </c>
      <c r="B24" s="7">
        <v>44926</v>
      </c>
      <c r="C24" s="3">
        <f t="shared" si="3"/>
        <v>31</v>
      </c>
      <c r="D24" s="3">
        <f t="shared" si="6"/>
        <v>365</v>
      </c>
      <c r="E24" s="4">
        <f t="shared" si="4"/>
        <v>4185</v>
      </c>
      <c r="F24" s="4">
        <v>135</v>
      </c>
      <c r="G24" s="4">
        <f t="shared" si="8"/>
        <v>49275</v>
      </c>
      <c r="H24" s="4" t="e">
        <f t="shared" si="0"/>
        <v>#NAME?</v>
      </c>
      <c r="I24" s="4" t="e">
        <f t="shared" si="1"/>
        <v>#NAME?</v>
      </c>
      <c r="J24" s="4" t="e">
        <f t="shared" si="5"/>
        <v>#NAME?</v>
      </c>
      <c r="K24" s="4" t="e">
        <f t="shared" si="2"/>
        <v>#NAME?</v>
      </c>
      <c r="L24" s="4" t="e">
        <f t="shared" si="7"/>
        <v>#NAME?</v>
      </c>
    </row>
    <row r="27" spans="1:12" x14ac:dyDescent="0.25">
      <c r="A27" s="12" t="s">
        <v>177</v>
      </c>
    </row>
    <row r="28" spans="1:12" x14ac:dyDescent="0.25">
      <c r="A28" s="195" t="s">
        <v>20</v>
      </c>
      <c r="B28" s="195"/>
    </row>
    <row r="29" spans="1:12" x14ac:dyDescent="0.25">
      <c r="A29" s="3" t="s">
        <v>148</v>
      </c>
      <c r="B29" s="3" t="s">
        <v>149</v>
      </c>
      <c r="C29" s="3" t="s">
        <v>174</v>
      </c>
      <c r="D29" s="3" t="s">
        <v>175</v>
      </c>
      <c r="E29" s="3" t="s">
        <v>152</v>
      </c>
      <c r="F29" s="3" t="s">
        <v>176</v>
      </c>
      <c r="G29" s="3" t="s">
        <v>154</v>
      </c>
      <c r="H29" s="3" t="s">
        <v>155</v>
      </c>
      <c r="I29" s="3" t="s">
        <v>141</v>
      </c>
      <c r="J29" s="3" t="s">
        <v>156</v>
      </c>
      <c r="K29" s="3" t="s">
        <v>157</v>
      </c>
      <c r="L29" s="3" t="s">
        <v>158</v>
      </c>
    </row>
    <row r="30" spans="1:12" x14ac:dyDescent="0.25">
      <c r="A30" s="7">
        <v>44562</v>
      </c>
      <c r="B30" s="7">
        <v>44592</v>
      </c>
      <c r="C30" s="3">
        <f>NETWORKDAYS(A30,B30)</f>
        <v>21</v>
      </c>
      <c r="D30" s="3">
        <f>C30</f>
        <v>21</v>
      </c>
      <c r="E30" s="4">
        <f>ROUND(C30*F30,2)</f>
        <v>2835</v>
      </c>
      <c r="F30" s="4">
        <v>135</v>
      </c>
      <c r="G30" s="4">
        <f>E30</f>
        <v>2835</v>
      </c>
      <c r="H30" s="4" t="e">
        <f t="shared" ref="H30:H41" si="9">ROUND(MIN(G30,MIN(D30,MaxDagen)*Maxdagloon),2)</f>
        <v>#NAME?</v>
      </c>
      <c r="I30" s="4" t="e">
        <f t="shared" ref="I30:I41" si="10">ROUND(MIN(D30,MaxDagen)*Dagfranchise,2)</f>
        <v>#NAME?</v>
      </c>
      <c r="J30" s="4" t="e">
        <f>H30-I30</f>
        <v>#NAME?</v>
      </c>
      <c r="K30" s="4" t="e">
        <f t="shared" ref="K30:K41" si="11">ROUND(J30*Premiepct2,2)</f>
        <v>#NAME?</v>
      </c>
      <c r="L30" s="4" t="e">
        <f>K30</f>
        <v>#NAME?</v>
      </c>
    </row>
    <row r="31" spans="1:12" x14ac:dyDescent="0.25">
      <c r="A31" s="7">
        <v>44593</v>
      </c>
      <c r="B31" s="7">
        <v>44620</v>
      </c>
      <c r="C31" s="3">
        <f t="shared" ref="C31:C41" si="12">NETWORKDAYS(A31,B31)</f>
        <v>20</v>
      </c>
      <c r="D31" s="3">
        <f>IF(C31="","",C31+D30)</f>
        <v>41</v>
      </c>
      <c r="E31" s="4">
        <f t="shared" ref="E31:E41" si="13">ROUND(C31*F31,2)</f>
        <v>2700</v>
      </c>
      <c r="F31" s="4">
        <v>135</v>
      </c>
      <c r="G31" s="4">
        <f>E31+G30</f>
        <v>5535</v>
      </c>
      <c r="H31" s="4" t="e">
        <f t="shared" si="9"/>
        <v>#NAME?</v>
      </c>
      <c r="I31" s="4" t="e">
        <f t="shared" si="10"/>
        <v>#NAME?</v>
      </c>
      <c r="J31" s="4" t="e">
        <f t="shared" ref="J31:J41" si="14">H31-I31</f>
        <v>#NAME?</v>
      </c>
      <c r="K31" s="4" t="e">
        <f t="shared" si="11"/>
        <v>#NAME?</v>
      </c>
      <c r="L31" s="4" t="e">
        <f>K31-K30</f>
        <v>#NAME?</v>
      </c>
    </row>
    <row r="32" spans="1:12" x14ac:dyDescent="0.25">
      <c r="A32" s="7">
        <v>44621</v>
      </c>
      <c r="B32" s="7">
        <v>44651</v>
      </c>
      <c r="C32" s="3">
        <f t="shared" si="12"/>
        <v>23</v>
      </c>
      <c r="D32" s="3">
        <f t="shared" ref="D32:D41" si="15">IF(C32="","",C32+D31)</f>
        <v>64</v>
      </c>
      <c r="E32" s="4">
        <f t="shared" si="13"/>
        <v>3105</v>
      </c>
      <c r="F32" s="4">
        <v>135</v>
      </c>
      <c r="G32" s="4">
        <f>E32+G31</f>
        <v>8640</v>
      </c>
      <c r="H32" s="4" t="e">
        <f t="shared" si="9"/>
        <v>#NAME?</v>
      </c>
      <c r="I32" s="4" t="e">
        <f t="shared" si="10"/>
        <v>#NAME?</v>
      </c>
      <c r="J32" s="4" t="e">
        <f t="shared" si="14"/>
        <v>#NAME?</v>
      </c>
      <c r="K32" s="4" t="e">
        <f t="shared" si="11"/>
        <v>#NAME?</v>
      </c>
      <c r="L32" s="4" t="e">
        <f t="shared" ref="L32:L41" si="16">K32-K31</f>
        <v>#NAME?</v>
      </c>
    </row>
    <row r="33" spans="1:12" x14ac:dyDescent="0.25">
      <c r="A33" s="7">
        <v>44652</v>
      </c>
      <c r="B33" s="7">
        <v>44681</v>
      </c>
      <c r="C33" s="3">
        <f t="shared" si="12"/>
        <v>21</v>
      </c>
      <c r="D33" s="3">
        <f t="shared" si="15"/>
        <v>85</v>
      </c>
      <c r="E33" s="4">
        <f t="shared" si="13"/>
        <v>2835</v>
      </c>
      <c r="F33" s="4">
        <v>135</v>
      </c>
      <c r="G33" s="4">
        <f>E33+G32</f>
        <v>11475</v>
      </c>
      <c r="H33" s="4" t="e">
        <f t="shared" si="9"/>
        <v>#NAME?</v>
      </c>
      <c r="I33" s="4" t="e">
        <f t="shared" si="10"/>
        <v>#NAME?</v>
      </c>
      <c r="J33" s="4" t="e">
        <f t="shared" si="14"/>
        <v>#NAME?</v>
      </c>
      <c r="K33" s="4" t="e">
        <f t="shared" si="11"/>
        <v>#NAME?</v>
      </c>
      <c r="L33" s="4" t="e">
        <f t="shared" si="16"/>
        <v>#NAME?</v>
      </c>
    </row>
    <row r="34" spans="1:12" x14ac:dyDescent="0.25">
      <c r="A34" s="7">
        <v>44682</v>
      </c>
      <c r="B34" s="7">
        <v>44712</v>
      </c>
      <c r="C34" s="3">
        <f t="shared" si="12"/>
        <v>22</v>
      </c>
      <c r="D34" s="3">
        <f t="shared" si="15"/>
        <v>107</v>
      </c>
      <c r="E34" s="4">
        <f t="shared" si="13"/>
        <v>2970</v>
      </c>
      <c r="F34" s="4">
        <v>135</v>
      </c>
      <c r="G34" s="4">
        <f t="shared" ref="G34:G41" si="17">E34+G33</f>
        <v>14445</v>
      </c>
      <c r="H34" s="4" t="e">
        <f t="shared" si="9"/>
        <v>#NAME?</v>
      </c>
      <c r="I34" s="4" t="e">
        <f t="shared" si="10"/>
        <v>#NAME?</v>
      </c>
      <c r="J34" s="4" t="e">
        <f t="shared" si="14"/>
        <v>#NAME?</v>
      </c>
      <c r="K34" s="4" t="e">
        <f t="shared" si="11"/>
        <v>#NAME?</v>
      </c>
      <c r="L34" s="4" t="e">
        <f t="shared" si="16"/>
        <v>#NAME?</v>
      </c>
    </row>
    <row r="35" spans="1:12" x14ac:dyDescent="0.25">
      <c r="A35" s="7">
        <v>44713</v>
      </c>
      <c r="B35" s="7">
        <v>44742</v>
      </c>
      <c r="C35" s="3">
        <f t="shared" si="12"/>
        <v>22</v>
      </c>
      <c r="D35" s="3">
        <f t="shared" si="15"/>
        <v>129</v>
      </c>
      <c r="E35" s="4">
        <f t="shared" si="13"/>
        <v>2970</v>
      </c>
      <c r="F35" s="4">
        <v>135</v>
      </c>
      <c r="G35" s="4">
        <f t="shared" si="17"/>
        <v>17415</v>
      </c>
      <c r="H35" s="4" t="e">
        <f t="shared" si="9"/>
        <v>#NAME?</v>
      </c>
      <c r="I35" s="4" t="e">
        <f t="shared" si="10"/>
        <v>#NAME?</v>
      </c>
      <c r="J35" s="4" t="e">
        <f t="shared" si="14"/>
        <v>#NAME?</v>
      </c>
      <c r="K35" s="4" t="e">
        <f t="shared" si="11"/>
        <v>#NAME?</v>
      </c>
      <c r="L35" s="4" t="e">
        <f t="shared" si="16"/>
        <v>#NAME?</v>
      </c>
    </row>
    <row r="36" spans="1:12" x14ac:dyDescent="0.25">
      <c r="A36" s="7">
        <v>44743</v>
      </c>
      <c r="B36" s="7">
        <v>44773</v>
      </c>
      <c r="C36" s="3">
        <f t="shared" si="12"/>
        <v>21</v>
      </c>
      <c r="D36" s="3">
        <f t="shared" si="15"/>
        <v>150</v>
      </c>
      <c r="E36" s="4">
        <f t="shared" si="13"/>
        <v>2835</v>
      </c>
      <c r="F36" s="4">
        <v>135</v>
      </c>
      <c r="G36" s="4">
        <f t="shared" si="17"/>
        <v>20250</v>
      </c>
      <c r="H36" s="4" t="e">
        <f t="shared" si="9"/>
        <v>#NAME?</v>
      </c>
      <c r="I36" s="4" t="e">
        <f t="shared" si="10"/>
        <v>#NAME?</v>
      </c>
      <c r="J36" s="4" t="e">
        <f t="shared" si="14"/>
        <v>#NAME?</v>
      </c>
      <c r="K36" s="4" t="e">
        <f t="shared" si="11"/>
        <v>#NAME?</v>
      </c>
      <c r="L36" s="4" t="e">
        <f t="shared" si="16"/>
        <v>#NAME?</v>
      </c>
    </row>
    <row r="37" spans="1:12" x14ac:dyDescent="0.25">
      <c r="A37" s="7">
        <v>44774</v>
      </c>
      <c r="B37" s="7">
        <v>44804</v>
      </c>
      <c r="C37" s="3">
        <f t="shared" si="12"/>
        <v>23</v>
      </c>
      <c r="D37" s="3">
        <f t="shared" si="15"/>
        <v>173</v>
      </c>
      <c r="E37" s="4">
        <f t="shared" si="13"/>
        <v>3105</v>
      </c>
      <c r="F37" s="4">
        <v>135</v>
      </c>
      <c r="G37" s="4">
        <f t="shared" si="17"/>
        <v>23355</v>
      </c>
      <c r="H37" s="4" t="e">
        <f t="shared" si="9"/>
        <v>#NAME?</v>
      </c>
      <c r="I37" s="4" t="e">
        <f t="shared" si="10"/>
        <v>#NAME?</v>
      </c>
      <c r="J37" s="4" t="e">
        <f t="shared" si="14"/>
        <v>#NAME?</v>
      </c>
      <c r="K37" s="4" t="e">
        <f t="shared" si="11"/>
        <v>#NAME?</v>
      </c>
      <c r="L37" s="4" t="e">
        <f t="shared" si="16"/>
        <v>#NAME?</v>
      </c>
    </row>
    <row r="38" spans="1:12" x14ac:dyDescent="0.25">
      <c r="A38" s="7">
        <v>44805</v>
      </c>
      <c r="B38" s="7">
        <v>44834</v>
      </c>
      <c r="C38" s="3">
        <f t="shared" si="12"/>
        <v>22</v>
      </c>
      <c r="D38" s="3">
        <f t="shared" si="15"/>
        <v>195</v>
      </c>
      <c r="E38" s="4">
        <f t="shared" si="13"/>
        <v>2970</v>
      </c>
      <c r="F38" s="4">
        <v>135</v>
      </c>
      <c r="G38" s="4">
        <f t="shared" si="17"/>
        <v>26325</v>
      </c>
      <c r="H38" s="4" t="e">
        <f t="shared" si="9"/>
        <v>#NAME?</v>
      </c>
      <c r="I38" s="4" t="e">
        <f t="shared" si="10"/>
        <v>#NAME?</v>
      </c>
      <c r="J38" s="4" t="e">
        <f t="shared" si="14"/>
        <v>#NAME?</v>
      </c>
      <c r="K38" s="4" t="e">
        <f t="shared" si="11"/>
        <v>#NAME?</v>
      </c>
      <c r="L38" s="4" t="e">
        <f t="shared" si="16"/>
        <v>#NAME?</v>
      </c>
    </row>
    <row r="39" spans="1:12" x14ac:dyDescent="0.25">
      <c r="A39" s="7">
        <v>44835</v>
      </c>
      <c r="B39" s="7">
        <v>44865</v>
      </c>
      <c r="C39" s="3">
        <f t="shared" si="12"/>
        <v>21</v>
      </c>
      <c r="D39" s="3">
        <f t="shared" si="15"/>
        <v>216</v>
      </c>
      <c r="E39" s="4">
        <f t="shared" si="13"/>
        <v>2835</v>
      </c>
      <c r="F39" s="4">
        <v>135</v>
      </c>
      <c r="G39" s="4">
        <f t="shared" si="17"/>
        <v>29160</v>
      </c>
      <c r="H39" s="4" t="e">
        <f t="shared" si="9"/>
        <v>#NAME?</v>
      </c>
      <c r="I39" s="4" t="e">
        <f t="shared" si="10"/>
        <v>#NAME?</v>
      </c>
      <c r="J39" s="4" t="e">
        <f t="shared" si="14"/>
        <v>#NAME?</v>
      </c>
      <c r="K39" s="4" t="e">
        <f t="shared" si="11"/>
        <v>#NAME?</v>
      </c>
      <c r="L39" s="4" t="e">
        <f t="shared" si="16"/>
        <v>#NAME?</v>
      </c>
    </row>
    <row r="40" spans="1:12" x14ac:dyDescent="0.25">
      <c r="A40" s="7">
        <v>44866</v>
      </c>
      <c r="B40" s="7">
        <v>44895</v>
      </c>
      <c r="C40" s="3">
        <f t="shared" si="12"/>
        <v>22</v>
      </c>
      <c r="D40" s="3">
        <f t="shared" si="15"/>
        <v>238</v>
      </c>
      <c r="E40" s="4">
        <f t="shared" si="13"/>
        <v>2970</v>
      </c>
      <c r="F40" s="4">
        <v>135</v>
      </c>
      <c r="G40" s="4">
        <f t="shared" si="17"/>
        <v>32130</v>
      </c>
      <c r="H40" s="4" t="e">
        <f t="shared" si="9"/>
        <v>#NAME?</v>
      </c>
      <c r="I40" s="4" t="e">
        <f t="shared" si="10"/>
        <v>#NAME?</v>
      </c>
      <c r="J40" s="4" t="e">
        <f t="shared" si="14"/>
        <v>#NAME?</v>
      </c>
      <c r="K40" s="4" t="e">
        <f t="shared" si="11"/>
        <v>#NAME?</v>
      </c>
      <c r="L40" s="4" t="e">
        <f t="shared" si="16"/>
        <v>#NAME?</v>
      </c>
    </row>
    <row r="41" spans="1:12" x14ac:dyDescent="0.25">
      <c r="A41" s="7">
        <v>44896</v>
      </c>
      <c r="B41" s="7">
        <v>44926</v>
      </c>
      <c r="C41" s="3">
        <f t="shared" si="12"/>
        <v>22</v>
      </c>
      <c r="D41" s="3">
        <f t="shared" si="15"/>
        <v>260</v>
      </c>
      <c r="E41" s="4">
        <f t="shared" si="13"/>
        <v>2970</v>
      </c>
      <c r="F41" s="4">
        <v>135</v>
      </c>
      <c r="G41" s="4">
        <f t="shared" si="17"/>
        <v>35100</v>
      </c>
      <c r="H41" s="4" t="e">
        <f t="shared" si="9"/>
        <v>#NAME?</v>
      </c>
      <c r="I41" s="4" t="e">
        <f t="shared" si="10"/>
        <v>#NAME?</v>
      </c>
      <c r="J41" s="4" t="e">
        <f t="shared" si="14"/>
        <v>#NAME?</v>
      </c>
      <c r="K41" s="4" t="e">
        <f t="shared" si="11"/>
        <v>#NAME?</v>
      </c>
      <c r="L41" s="4" t="e">
        <f t="shared" si="16"/>
        <v>#NAME?</v>
      </c>
    </row>
    <row r="44" spans="1:12" x14ac:dyDescent="0.25">
      <c r="A44" s="12" t="s">
        <v>178</v>
      </c>
    </row>
    <row r="45" spans="1:12" x14ac:dyDescent="0.25">
      <c r="A45" s="195" t="s">
        <v>20</v>
      </c>
      <c r="B45" s="195"/>
    </row>
    <row r="46" spans="1:12" x14ac:dyDescent="0.25">
      <c r="A46" s="3" t="s">
        <v>148</v>
      </c>
      <c r="B46" s="3" t="s">
        <v>149</v>
      </c>
      <c r="C46" s="3" t="s">
        <v>174</v>
      </c>
      <c r="D46" s="3" t="s">
        <v>175</v>
      </c>
      <c r="E46" s="3" t="s">
        <v>152</v>
      </c>
      <c r="F46" s="3" t="s">
        <v>176</v>
      </c>
      <c r="G46" s="3" t="s">
        <v>154</v>
      </c>
      <c r="H46" s="3" t="s">
        <v>155</v>
      </c>
      <c r="I46" s="3" t="s">
        <v>141</v>
      </c>
      <c r="J46" s="3" t="s">
        <v>156</v>
      </c>
      <c r="K46" s="3" t="s">
        <v>157</v>
      </c>
      <c r="L46" s="3" t="s">
        <v>158</v>
      </c>
    </row>
    <row r="47" spans="1:12" x14ac:dyDescent="0.25">
      <c r="A47" s="7">
        <v>44562</v>
      </c>
      <c r="B47" s="7">
        <v>44592</v>
      </c>
      <c r="C47" s="3">
        <v>30</v>
      </c>
      <c r="D47" s="3">
        <f>C47</f>
        <v>30</v>
      </c>
      <c r="E47" s="4">
        <f>ROUND(C47*F47,2)</f>
        <v>4050</v>
      </c>
      <c r="F47" s="4">
        <v>135</v>
      </c>
      <c r="G47" s="4">
        <f>E47</f>
        <v>4050</v>
      </c>
      <c r="H47" s="4" t="e">
        <f t="shared" ref="H47:H58" si="18">ROUND(MIN(G47,MIN(D47,MaxDagen)*Maxdagloon),2)</f>
        <v>#NAME?</v>
      </c>
      <c r="I47" s="4" t="e">
        <f t="shared" ref="I47:I58" si="19">ROUND(MIN(D47,MaxDagen)*Dagfranchise,2)</f>
        <v>#NAME?</v>
      </c>
      <c r="J47" s="4" t="e">
        <f>H47-I47</f>
        <v>#NAME?</v>
      </c>
      <c r="K47" s="4" t="e">
        <f t="shared" ref="K47:K58" si="20">ROUND(J47*Premiepct2,2)</f>
        <v>#NAME?</v>
      </c>
      <c r="L47" s="4" t="e">
        <f>K47</f>
        <v>#NAME?</v>
      </c>
    </row>
    <row r="48" spans="1:12" x14ac:dyDescent="0.25">
      <c r="A48" s="7">
        <v>44593</v>
      </c>
      <c r="B48" s="7">
        <v>44620</v>
      </c>
      <c r="C48" s="3">
        <v>30</v>
      </c>
      <c r="D48" s="3">
        <f>IF(C48="","",C48+D47)</f>
        <v>60</v>
      </c>
      <c r="E48" s="4">
        <f t="shared" ref="E48:E58" si="21">ROUND(C48*F48,2)</f>
        <v>4050</v>
      </c>
      <c r="F48" s="4">
        <v>135</v>
      </c>
      <c r="G48" s="4">
        <f>E48+G47</f>
        <v>8100</v>
      </c>
      <c r="H48" s="4" t="e">
        <f t="shared" si="18"/>
        <v>#NAME?</v>
      </c>
      <c r="I48" s="4" t="e">
        <f t="shared" si="19"/>
        <v>#NAME?</v>
      </c>
      <c r="J48" s="4" t="e">
        <f t="shared" ref="J48:J58" si="22">H48-I48</f>
        <v>#NAME?</v>
      </c>
      <c r="K48" s="4" t="e">
        <f t="shared" si="20"/>
        <v>#NAME?</v>
      </c>
      <c r="L48" s="4" t="e">
        <f>K48-K47</f>
        <v>#NAME?</v>
      </c>
    </row>
    <row r="49" spans="1:12" x14ac:dyDescent="0.25">
      <c r="A49" s="7">
        <v>44621</v>
      </c>
      <c r="B49" s="7">
        <v>44651</v>
      </c>
      <c r="C49" s="3">
        <v>30</v>
      </c>
      <c r="D49" s="3">
        <f t="shared" ref="D49:D58" si="23">IF(C49="","",C49+D48)</f>
        <v>90</v>
      </c>
      <c r="E49" s="4">
        <f t="shared" si="21"/>
        <v>4050</v>
      </c>
      <c r="F49" s="4">
        <v>135</v>
      </c>
      <c r="G49" s="4">
        <f>E49+G48</f>
        <v>12150</v>
      </c>
      <c r="H49" s="4" t="e">
        <f t="shared" si="18"/>
        <v>#NAME?</v>
      </c>
      <c r="I49" s="4" t="e">
        <f t="shared" si="19"/>
        <v>#NAME?</v>
      </c>
      <c r="J49" s="4" t="e">
        <f t="shared" si="22"/>
        <v>#NAME?</v>
      </c>
      <c r="K49" s="4" t="e">
        <f t="shared" si="20"/>
        <v>#NAME?</v>
      </c>
      <c r="L49" s="4" t="e">
        <f t="shared" ref="L49:L58" si="24">K49-K48</f>
        <v>#NAME?</v>
      </c>
    </row>
    <row r="50" spans="1:12" x14ac:dyDescent="0.25">
      <c r="A50" s="7">
        <v>44652</v>
      </c>
      <c r="B50" s="7">
        <v>44681</v>
      </c>
      <c r="C50" s="3">
        <v>30</v>
      </c>
      <c r="D50" s="3">
        <f t="shared" si="23"/>
        <v>120</v>
      </c>
      <c r="E50" s="4">
        <f t="shared" si="21"/>
        <v>4050</v>
      </c>
      <c r="F50" s="4">
        <v>135</v>
      </c>
      <c r="G50" s="4">
        <f>E50+G49</f>
        <v>16200</v>
      </c>
      <c r="H50" s="4" t="e">
        <f t="shared" si="18"/>
        <v>#NAME?</v>
      </c>
      <c r="I50" s="4" t="e">
        <f t="shared" si="19"/>
        <v>#NAME?</v>
      </c>
      <c r="J50" s="4" t="e">
        <f t="shared" si="22"/>
        <v>#NAME?</v>
      </c>
      <c r="K50" s="4" t="e">
        <f t="shared" si="20"/>
        <v>#NAME?</v>
      </c>
      <c r="L50" s="4" t="e">
        <f t="shared" si="24"/>
        <v>#NAME?</v>
      </c>
    </row>
    <row r="51" spans="1:12" x14ac:dyDescent="0.25">
      <c r="A51" s="7">
        <v>44682</v>
      </c>
      <c r="B51" s="7">
        <v>44712</v>
      </c>
      <c r="C51" s="3">
        <v>30</v>
      </c>
      <c r="D51" s="3">
        <f t="shared" si="23"/>
        <v>150</v>
      </c>
      <c r="E51" s="4">
        <f t="shared" si="21"/>
        <v>4050</v>
      </c>
      <c r="F51" s="4">
        <v>135</v>
      </c>
      <c r="G51" s="4">
        <f t="shared" ref="G51:G58" si="25">E51+G50</f>
        <v>20250</v>
      </c>
      <c r="H51" s="4" t="e">
        <f t="shared" si="18"/>
        <v>#NAME?</v>
      </c>
      <c r="I51" s="4" t="e">
        <f t="shared" si="19"/>
        <v>#NAME?</v>
      </c>
      <c r="J51" s="4" t="e">
        <f t="shared" si="22"/>
        <v>#NAME?</v>
      </c>
      <c r="K51" s="4" t="e">
        <f t="shared" si="20"/>
        <v>#NAME?</v>
      </c>
      <c r="L51" s="4" t="e">
        <f t="shared" si="24"/>
        <v>#NAME?</v>
      </c>
    </row>
    <row r="52" spans="1:12" x14ac:dyDescent="0.25">
      <c r="A52" s="7">
        <v>44713</v>
      </c>
      <c r="B52" s="7">
        <v>44742</v>
      </c>
      <c r="C52" s="3">
        <v>30</v>
      </c>
      <c r="D52" s="3">
        <f t="shared" si="23"/>
        <v>180</v>
      </c>
      <c r="E52" s="4">
        <f t="shared" si="21"/>
        <v>4050</v>
      </c>
      <c r="F52" s="4">
        <v>135</v>
      </c>
      <c r="G52" s="4">
        <f t="shared" si="25"/>
        <v>24300</v>
      </c>
      <c r="H52" s="4" t="e">
        <f t="shared" si="18"/>
        <v>#NAME?</v>
      </c>
      <c r="I52" s="4" t="e">
        <f t="shared" si="19"/>
        <v>#NAME?</v>
      </c>
      <c r="J52" s="4" t="e">
        <f t="shared" si="22"/>
        <v>#NAME?</v>
      </c>
      <c r="K52" s="4" t="e">
        <f t="shared" si="20"/>
        <v>#NAME?</v>
      </c>
      <c r="L52" s="4" t="e">
        <f t="shared" si="24"/>
        <v>#NAME?</v>
      </c>
    </row>
    <row r="53" spans="1:12" x14ac:dyDescent="0.25">
      <c r="A53" s="7">
        <v>44743</v>
      </c>
      <c r="B53" s="7">
        <v>44773</v>
      </c>
      <c r="C53" s="3">
        <v>30</v>
      </c>
      <c r="D53" s="3">
        <f t="shared" si="23"/>
        <v>210</v>
      </c>
      <c r="E53" s="4">
        <f t="shared" si="21"/>
        <v>4050</v>
      </c>
      <c r="F53" s="4">
        <v>135</v>
      </c>
      <c r="G53" s="4">
        <f t="shared" si="25"/>
        <v>28350</v>
      </c>
      <c r="H53" s="4" t="e">
        <f t="shared" si="18"/>
        <v>#NAME?</v>
      </c>
      <c r="I53" s="4" t="e">
        <f t="shared" si="19"/>
        <v>#NAME?</v>
      </c>
      <c r="J53" s="4" t="e">
        <f t="shared" si="22"/>
        <v>#NAME?</v>
      </c>
      <c r="K53" s="4" t="e">
        <f t="shared" si="20"/>
        <v>#NAME?</v>
      </c>
      <c r="L53" s="4" t="e">
        <f t="shared" si="24"/>
        <v>#NAME?</v>
      </c>
    </row>
    <row r="54" spans="1:12" x14ac:dyDescent="0.25">
      <c r="A54" s="7">
        <v>44774</v>
      </c>
      <c r="B54" s="7">
        <v>44804</v>
      </c>
      <c r="C54" s="3">
        <v>30</v>
      </c>
      <c r="D54" s="3">
        <f t="shared" si="23"/>
        <v>240</v>
      </c>
      <c r="E54" s="4">
        <f t="shared" si="21"/>
        <v>4050</v>
      </c>
      <c r="F54" s="4">
        <v>135</v>
      </c>
      <c r="G54" s="4">
        <f t="shared" si="25"/>
        <v>32400</v>
      </c>
      <c r="H54" s="4" t="e">
        <f t="shared" si="18"/>
        <v>#NAME?</v>
      </c>
      <c r="I54" s="4" t="e">
        <f t="shared" si="19"/>
        <v>#NAME?</v>
      </c>
      <c r="J54" s="4" t="e">
        <f t="shared" si="22"/>
        <v>#NAME?</v>
      </c>
      <c r="K54" s="4" t="e">
        <f t="shared" si="20"/>
        <v>#NAME?</v>
      </c>
      <c r="L54" s="4" t="e">
        <f t="shared" si="24"/>
        <v>#NAME?</v>
      </c>
    </row>
    <row r="55" spans="1:12" x14ac:dyDescent="0.25">
      <c r="A55" s="7">
        <v>44805</v>
      </c>
      <c r="B55" s="7">
        <v>44834</v>
      </c>
      <c r="C55" s="3">
        <v>30</v>
      </c>
      <c r="D55" s="3">
        <f t="shared" si="23"/>
        <v>270</v>
      </c>
      <c r="E55" s="4">
        <f t="shared" si="21"/>
        <v>4050</v>
      </c>
      <c r="F55" s="4">
        <v>135</v>
      </c>
      <c r="G55" s="4">
        <f t="shared" si="25"/>
        <v>36450</v>
      </c>
      <c r="H55" s="4" t="e">
        <f t="shared" si="18"/>
        <v>#NAME?</v>
      </c>
      <c r="I55" s="4" t="e">
        <f t="shared" si="19"/>
        <v>#NAME?</v>
      </c>
      <c r="J55" s="4" t="e">
        <f t="shared" si="22"/>
        <v>#NAME?</v>
      </c>
      <c r="K55" s="4" t="e">
        <f t="shared" si="20"/>
        <v>#NAME?</v>
      </c>
      <c r="L55" s="4" t="e">
        <f t="shared" si="24"/>
        <v>#NAME?</v>
      </c>
    </row>
    <row r="56" spans="1:12" x14ac:dyDescent="0.25">
      <c r="A56" s="7">
        <v>44835</v>
      </c>
      <c r="B56" s="7">
        <v>44865</v>
      </c>
      <c r="C56" s="3">
        <v>30</v>
      </c>
      <c r="D56" s="3">
        <f t="shared" si="23"/>
        <v>300</v>
      </c>
      <c r="E56" s="4">
        <f t="shared" si="21"/>
        <v>4050</v>
      </c>
      <c r="F56" s="4">
        <v>135</v>
      </c>
      <c r="G56" s="4">
        <f t="shared" si="25"/>
        <v>40500</v>
      </c>
      <c r="H56" s="4" t="e">
        <f t="shared" si="18"/>
        <v>#NAME?</v>
      </c>
      <c r="I56" s="4" t="e">
        <f t="shared" si="19"/>
        <v>#NAME?</v>
      </c>
      <c r="J56" s="4" t="e">
        <f t="shared" si="22"/>
        <v>#NAME?</v>
      </c>
      <c r="K56" s="4" t="e">
        <f t="shared" si="20"/>
        <v>#NAME?</v>
      </c>
      <c r="L56" s="4" t="e">
        <f t="shared" si="24"/>
        <v>#NAME?</v>
      </c>
    </row>
    <row r="57" spans="1:12" x14ac:dyDescent="0.25">
      <c r="A57" s="7">
        <v>44866</v>
      </c>
      <c r="B57" s="7">
        <v>44895</v>
      </c>
      <c r="C57" s="3">
        <v>30</v>
      </c>
      <c r="D57" s="3">
        <f t="shared" si="23"/>
        <v>330</v>
      </c>
      <c r="E57" s="4">
        <f t="shared" si="21"/>
        <v>4050</v>
      </c>
      <c r="F57" s="4">
        <v>135</v>
      </c>
      <c r="G57" s="4">
        <f t="shared" si="25"/>
        <v>44550</v>
      </c>
      <c r="H57" s="4" t="e">
        <f t="shared" si="18"/>
        <v>#NAME?</v>
      </c>
      <c r="I57" s="4" t="e">
        <f t="shared" si="19"/>
        <v>#NAME?</v>
      </c>
      <c r="J57" s="4" t="e">
        <f t="shared" si="22"/>
        <v>#NAME?</v>
      </c>
      <c r="K57" s="4" t="e">
        <f t="shared" si="20"/>
        <v>#NAME?</v>
      </c>
      <c r="L57" s="4" t="e">
        <f t="shared" si="24"/>
        <v>#NAME?</v>
      </c>
    </row>
    <row r="58" spans="1:12" x14ac:dyDescent="0.25">
      <c r="A58" s="7">
        <v>44896</v>
      </c>
      <c r="B58" s="7">
        <v>44926</v>
      </c>
      <c r="C58" s="3">
        <v>30</v>
      </c>
      <c r="D58" s="3">
        <f t="shared" si="23"/>
        <v>360</v>
      </c>
      <c r="E58" s="4">
        <f t="shared" si="21"/>
        <v>4050</v>
      </c>
      <c r="F58" s="4">
        <v>135</v>
      </c>
      <c r="G58" s="4">
        <f t="shared" si="25"/>
        <v>48600</v>
      </c>
      <c r="H58" s="4" t="e">
        <f t="shared" si="18"/>
        <v>#NAME?</v>
      </c>
      <c r="I58" s="4" t="e">
        <f t="shared" si="19"/>
        <v>#NAME?</v>
      </c>
      <c r="J58" s="4" t="e">
        <f t="shared" si="22"/>
        <v>#NAME?</v>
      </c>
      <c r="K58" s="4" t="e">
        <f t="shared" si="20"/>
        <v>#NAME?</v>
      </c>
      <c r="L58" s="4" t="e">
        <f t="shared" si="24"/>
        <v>#NAME?</v>
      </c>
    </row>
    <row r="60" spans="1:12" x14ac:dyDescent="0.25">
      <c r="C60">
        <f>SUM(C47:C58)</f>
        <v>360</v>
      </c>
    </row>
  </sheetData>
  <mergeCells count="3">
    <mergeCell ref="A11:B11"/>
    <mergeCell ref="A28:B28"/>
    <mergeCell ref="A45:B4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4c2634a-eae3-46ee-a540-1bb6576b47b5" xsi:nil="true"/>
    <lcf76f155ced4ddcb4097134ff3c332f xmlns="71a55fe9-309e-4383-b075-3224ea00e784">
      <Terms xmlns="http://schemas.microsoft.com/office/infopath/2007/PartnerControls"/>
    </lcf76f155ced4ddcb4097134ff3c332f>
    <ValidSignStatus xmlns="71a55fe9-309e-4383-b075-3224ea00e784" xsi:nil="true"/>
    <test xmlns="71a55fe9-309e-4383-b075-3224ea00e784">
      <Url xsi:nil="true"/>
      <Description xsi:nil="true"/>
    </test>
    <Hyperlink xmlns="71a55fe9-309e-4383-b075-3224ea00e784">
      <Url xsi:nil="true"/>
      <Description xsi:nil="true"/>
    </Hyperlink>
    <Classificatie xmlns="71a55fe9-309e-4383-b075-3224ea00e784" xsi:nil="true"/>
    <Wie xmlns="71a55fe9-309e-4383-b075-3224ea00e784">
      <UserInfo>
        <DisplayName/>
        <AccountId xsi:nil="true"/>
        <AccountType/>
      </UserInfo>
    </Wie>
    <Contractnummer xmlns="71a55fe9-309e-4383-b075-3224ea00e78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C80B47EF57F06498048803DB1F3C809" ma:contentTypeVersion="28" ma:contentTypeDescription="Een nieuw document maken." ma:contentTypeScope="" ma:versionID="296fe23a11ce34b881b94f38915eef28">
  <xsd:schema xmlns:xsd="http://www.w3.org/2001/XMLSchema" xmlns:xs="http://www.w3.org/2001/XMLSchema" xmlns:p="http://schemas.microsoft.com/office/2006/metadata/properties" xmlns:ns2="b4c2634a-eae3-46ee-a540-1bb6576b47b5" xmlns:ns3="71a55fe9-309e-4383-b075-3224ea00e784" targetNamespace="http://schemas.microsoft.com/office/2006/metadata/properties" ma:root="true" ma:fieldsID="eb03fba0ac7d9d88eeba7a564c37e678" ns2:_="" ns3:_="">
    <xsd:import namespace="b4c2634a-eae3-46ee-a540-1bb6576b47b5"/>
    <xsd:import namespace="71a55fe9-309e-4383-b075-3224ea00e78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test"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ValidSignStatus" minOccurs="0"/>
                <xsd:element ref="ns3:MediaServiceObjectDetectorVersions" minOccurs="0"/>
                <xsd:element ref="ns3:MediaServiceSearchProperties" minOccurs="0"/>
                <xsd:element ref="ns3:MediaServiceBillingMetadata" minOccurs="0"/>
                <xsd:element ref="ns3:Classificatie" minOccurs="0"/>
                <xsd:element ref="ns3:Hyperlink" minOccurs="0"/>
                <xsd:element ref="ns3:Wie" minOccurs="0"/>
                <xsd:element ref="ns3:Contractnumm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c2634a-eae3-46ee-a540-1bb6576b47b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5a01654d-5556-43a3-8f94-0615b0a5d4b9}" ma:internalName="TaxCatchAll" ma:showField="CatchAllData" ma:web="b4c2634a-eae3-46ee-a540-1bb6576b47b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1a55fe9-309e-4383-b075-3224ea00e78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test" ma:index="18" nillable="true" ma:displayName="test" ma:format="Image" ma:internalName="test">
      <xsd:complexType>
        <xsd:complexContent>
          <xsd:extension base="dms:URL">
            <xsd:sequence>
              <xsd:element name="Url" type="dms:ValidUrl" minOccurs="0" nillable="true"/>
              <xsd:element name="Description" type="xsd:string" nillable="true"/>
            </xsd:sequence>
          </xsd:extension>
        </xsd:complexContent>
      </xsd:complex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f4419f7a-5b06-4c02-a6c8-f80294f56dc3" ma:termSetId="09814cd3-568e-fe90-9814-8d621ff8fb84" ma:anchorId="fba54fb3-c3e1-fe81-a776-ca4b69148c4d" ma:open="true" ma:isKeyword="false">
      <xsd:complexType>
        <xsd:sequence>
          <xsd:element ref="pc:Terms" minOccurs="0" maxOccurs="1"/>
        </xsd:sequence>
      </xsd:complexType>
    </xsd:element>
    <xsd:element name="ValidSignStatus" ma:index="25" nillable="true" ma:displayName="ValidSignStatus" ma:internalName="ValidSignStatus">
      <xsd:simpleType>
        <xsd:restriction base="dms:Text"/>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Classificatie" ma:index="29" nillable="true" ma:displayName="Classificatie" ma:format="Dropdown" ma:internalName="Classificatie">
      <xsd:simpleType>
        <xsd:restriction base="dms:Text">
          <xsd:maxLength value="255"/>
        </xsd:restriction>
      </xsd:simpleType>
    </xsd:element>
    <xsd:element name="Hyperlink" ma:index="30"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element name="Wie" ma:index="31" nillable="true" ma:displayName="Wie" ma:description="Wie" ma:format="Dropdown" ma:list="UserInfo" ma:SharePointGroup="0" ma:internalName="Wi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ractnummer" ma:index="32" nillable="true" ma:displayName="Contractnummer" ma:format="Dropdown" ma:internalName="Contractnummer">
      <xsd:simpleType>
        <xsd:restriction base="dms:Text">
          <xsd:maxLength value="1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2CD552-044F-4D28-AD58-88215324966D}">
  <ds:schemaRefs>
    <ds:schemaRef ds:uri="http://schemas.microsoft.com/office/2006/metadata/properties"/>
    <ds:schemaRef ds:uri="http://schemas.microsoft.com/office/infopath/2007/PartnerControls"/>
    <ds:schemaRef ds:uri="cde4b0b2-2ef5-4d08-86ae-ead197035192"/>
    <ds:schemaRef ds:uri="d5259957-f353-4b73-92df-8c50cc8a0216"/>
  </ds:schemaRefs>
</ds:datastoreItem>
</file>

<file path=customXml/itemProps2.xml><?xml version="1.0" encoding="utf-8"?>
<ds:datastoreItem xmlns:ds="http://schemas.openxmlformats.org/officeDocument/2006/customXml" ds:itemID="{D6E57CCB-E61E-4427-B5C5-B0F0BFBDD385}">
  <ds:schemaRefs>
    <ds:schemaRef ds:uri="http://schemas.microsoft.com/sharepoint/v3/contenttype/forms"/>
  </ds:schemaRefs>
</ds:datastoreItem>
</file>

<file path=customXml/itemProps3.xml><?xml version="1.0" encoding="utf-8"?>
<ds:datastoreItem xmlns:ds="http://schemas.openxmlformats.org/officeDocument/2006/customXml" ds:itemID="{99A2E0E0-A165-4D16-9AF8-538D55BAAA02}"/>
</file>

<file path=docMetadata/LabelInfo.xml><?xml version="1.0" encoding="utf-8"?>
<clbl:labelList xmlns:clbl="http://schemas.microsoft.com/office/2020/mipLabelMetadata">
  <clbl:label id="{a911eff9-d416-4218-ad0f-9d12c4499240}" enabled="1" method="Standard" siteId="{866828ac-36d2-478f-b3e1-20e24430c12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23</vt:i4>
      </vt:variant>
    </vt:vector>
  </HeadingPairs>
  <TitlesOfParts>
    <vt:vector size="31" baseType="lpstr">
      <vt:lpstr>Toelichting</vt:lpstr>
      <vt:lpstr>Grondslagbepaling mnd</vt:lpstr>
      <vt:lpstr>Grondslagbepaling 4wk</vt:lpstr>
      <vt:lpstr>rekenwaarden</vt:lpstr>
      <vt:lpstr>premie ANW-hiaat</vt:lpstr>
      <vt:lpstr>VCR regulier</vt:lpstr>
      <vt:lpstr>VCR met WN bijdrage</vt:lpstr>
      <vt:lpstr>VCR dagen</vt:lpstr>
      <vt:lpstr>exc_regeling_4wk_jn</vt:lpstr>
      <vt:lpstr>exc_regeling_jn</vt:lpstr>
      <vt:lpstr>franchise2027</vt:lpstr>
      <vt:lpstr>franchise2028</vt:lpstr>
      <vt:lpstr>gekozen_premie_exc2027</vt:lpstr>
      <vt:lpstr>gekozen_premie_exc2028</vt:lpstr>
      <vt:lpstr>'Grondslagbepaling mnd'!leeftijd_deelnemer</vt:lpstr>
      <vt:lpstr>leeftijd_deelnemer</vt:lpstr>
      <vt:lpstr>'Grondslagbepaling mnd'!leeftijd_partner</vt:lpstr>
      <vt:lpstr>leeftijd_partner</vt:lpstr>
      <vt:lpstr>max_bijdrage_wkn_basis2027</vt:lpstr>
      <vt:lpstr>max_bijdrage_wkn_basis2028</vt:lpstr>
      <vt:lpstr>max_bijdrage_wkn_exc2027</vt:lpstr>
      <vt:lpstr>max_bijdrage_wkn_exc2028</vt:lpstr>
      <vt:lpstr>maxloon2027</vt:lpstr>
      <vt:lpstr>maxloon2028</vt:lpstr>
      <vt:lpstr>maxloonexc2027</vt:lpstr>
      <vt:lpstr>maxloonexc2028</vt:lpstr>
      <vt:lpstr>premiekort_ouderschapsverlof2027</vt:lpstr>
      <vt:lpstr>premiekort_ouderschapsverlof2028</vt:lpstr>
      <vt:lpstr>premiepct2027</vt:lpstr>
      <vt:lpstr>premiepct2028</vt:lpstr>
      <vt:lpstr>rekenwaarden_tabel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Dijkstra, Lammert</dc:creator>
  <cp:keywords/>
  <dc:description/>
  <cp:lastModifiedBy>Rotteveel, Frank</cp:lastModifiedBy>
  <cp:revision/>
  <dcterms:created xsi:type="dcterms:W3CDTF">2022-11-14T14:37:28Z</dcterms:created>
  <dcterms:modified xsi:type="dcterms:W3CDTF">2026-09-23T13:35:39Z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0x0101005C80B47EF57F06498048803DB1F3C809</vt:lpwstr>
  </property>
  <property fmtid="{D5CDD505-2E9C-101B-9397-08002B2CF9AE}" pid="3" name="Order">
    <vt:r8>955200</vt:r8>
  </property>
  <property fmtid="{D5CDD505-2E9C-101B-9397-08002B2CF9AE}" pid="4" name="MediaServiceImageTags">
    <vt:lpwstr/>
  </property>
  <property fmtid="{D5CDD505-2E9C-101B-9397-08002B2CF9AE}" pid="5" name="MSIP_Label_a911eff9-d416-4218-ad0f-9d12c4499240_Enabled">
    <vt:lpwstr>true</vt:lpwstr>
  </property>
  <property fmtid="{D5CDD505-2E9C-101B-9397-08002B2CF9AE}" pid="6" name="MSIP_Label_a911eff9-d416-4218-ad0f-9d12c4499240_SetDate">
    <vt:lpwstr>2026-01-09T10:44:56Z</vt:lpwstr>
  </property>
  <property fmtid="{D5CDD505-2E9C-101B-9397-08002B2CF9AE}" pid="7" name="MSIP_Label_a911eff9-d416-4218-ad0f-9d12c4499240_Method">
    <vt:lpwstr>Standard</vt:lpwstr>
  </property>
  <property fmtid="{D5CDD505-2E9C-101B-9397-08002B2CF9AE}" pid="8" name="MSIP_Label_a911eff9-d416-4218-ad0f-9d12c4499240_Name">
    <vt:lpwstr>defa4170-0d19-0005-0004-bc88714345d2</vt:lpwstr>
  </property>
  <property fmtid="{D5CDD505-2E9C-101B-9397-08002B2CF9AE}" pid="9" name="MSIP_Label_a911eff9-d416-4218-ad0f-9d12c4499240_SiteId">
    <vt:lpwstr>866828ac-36d2-478f-b3e1-20e24430c12d</vt:lpwstr>
  </property>
  <property fmtid="{D5CDD505-2E9C-101B-9397-08002B2CF9AE}" pid="10" name="MSIP_Label_a911eff9-d416-4218-ad0f-9d12c4499240_ActionId">
    <vt:lpwstr>e0e56a27-f9ed-443e-ab94-077c8f9efaa0</vt:lpwstr>
  </property>
  <property fmtid="{D5CDD505-2E9C-101B-9397-08002B2CF9AE}" pid="11" name="MSIP_Label_a911eff9-d416-4218-ad0f-9d12c4499240_ContentBits">
    <vt:lpwstr>0</vt:lpwstr>
  </property>
  <property fmtid="{D5CDD505-2E9C-101B-9397-08002B2CF9AE}" pid="12" name="MSIP_Label_a911eff9-d416-4218-ad0f-9d12c4499240_Tag">
    <vt:lpwstr>10, 3, 0, 1</vt:lpwstr>
  </property>
  <property fmtid="{D5CDD505-2E9C-101B-9397-08002B2CF9AE}" pid="13" name="ComplianceAssetId">
    <vt:lpwstr/>
  </property>
  <property fmtid="{D5CDD505-2E9C-101B-9397-08002B2CF9AE}" pid="14" name="_ExtendedDescription">
    <vt:lpwstr/>
  </property>
  <property fmtid="{D5CDD505-2E9C-101B-9397-08002B2CF9AE}" pid="15" name="TriggerFlowInfo">
    <vt:lpwstr/>
  </property>
</Properties>
</file>